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 yWindow="300" windowWidth="19200" windowHeight="11475"/>
  </bookViews>
  <sheets>
    <sheet name="Extended Detention Basin" sheetId="5" r:id="rId1"/>
    <sheet name="Sheet1" sheetId="6" r:id="rId2"/>
  </sheets>
  <definedNames>
    <definedName name="_xlnm.Print_Area" localSheetId="0">'Extended Detention Basin'!$B$1:$L$181</definedName>
  </definedNames>
  <calcPr calcId="145621"/>
</workbook>
</file>

<file path=xl/calcChain.xml><?xml version="1.0" encoding="utf-8"?>
<calcChain xmlns="http://schemas.openxmlformats.org/spreadsheetml/2006/main">
  <c r="K19" i="5" l="1"/>
  <c r="F91" i="5" l="1"/>
  <c r="F99" i="5"/>
  <c r="T148" i="5" l="1"/>
  <c r="S144" i="5"/>
  <c r="T158" i="5" l="1"/>
  <c r="F54" i="5"/>
  <c r="V162" i="5" l="1"/>
  <c r="V160" i="5"/>
  <c r="E127" i="5"/>
  <c r="K117" i="5"/>
  <c r="H118" i="5" s="1"/>
  <c r="G113" i="5"/>
  <c r="F56" i="5"/>
  <c r="F160" i="5" l="1"/>
  <c r="F21" i="5" l="1"/>
  <c r="E58" i="5"/>
  <c r="F75" i="5"/>
  <c r="C127" i="5"/>
  <c r="D123" i="5"/>
  <c r="F101" i="5"/>
  <c r="F97" i="5" l="1"/>
  <c r="F95" i="5"/>
  <c r="F87" i="5"/>
  <c r="F89" i="5"/>
  <c r="E81" i="5" l="1"/>
  <c r="K79" i="5"/>
  <c r="K52" i="5"/>
  <c r="K31" i="5"/>
  <c r="K27" i="5"/>
  <c r="O142" i="5" l="1"/>
  <c r="N141" i="5"/>
  <c r="P141" i="5" s="1"/>
  <c r="Y177" i="5"/>
  <c r="Y176" i="5"/>
  <c r="Y175" i="5"/>
  <c r="Y174" i="5"/>
  <c r="Y173" i="5"/>
  <c r="Y172" i="5"/>
  <c r="Y171" i="5"/>
  <c r="Y170" i="5"/>
  <c r="Y169" i="5"/>
  <c r="Y168" i="5"/>
  <c r="Y167" i="5"/>
  <c r="Y166" i="5"/>
  <c r="Y165" i="5"/>
  <c r="Y164" i="5"/>
  <c r="Y163" i="5"/>
  <c r="Y162" i="5"/>
  <c r="Y161" i="5"/>
  <c r="Y159" i="5"/>
  <c r="Y158" i="5"/>
  <c r="Y157" i="5"/>
  <c r="Y156" i="5"/>
  <c r="Y155" i="5"/>
  <c r="Y154" i="5"/>
  <c r="Y153" i="5"/>
  <c r="Y152" i="5"/>
  <c r="Y151" i="5"/>
  <c r="Y150" i="5"/>
  <c r="Y149" i="5"/>
  <c r="Y160" i="5"/>
  <c r="S150" i="5" l="1"/>
  <c r="V149" i="5"/>
  <c r="S149" i="5"/>
  <c r="V150" i="5"/>
  <c r="Y179" i="5"/>
  <c r="O141" i="5"/>
  <c r="N143" i="5"/>
  <c r="E151" i="5"/>
  <c r="I1" i="6"/>
  <c r="M178" i="5"/>
  <c r="L1" i="6"/>
  <c r="P1" i="6" s="1"/>
  <c r="Y18" i="6" s="1"/>
  <c r="C1" i="6"/>
  <c r="D166" i="5"/>
  <c r="F1" i="6" s="1"/>
  <c r="T152" i="5" l="1"/>
  <c r="Y12" i="6"/>
  <c r="K18" i="6"/>
  <c r="G25" i="6"/>
  <c r="O143" i="5"/>
  <c r="P143" i="5"/>
  <c r="P4" i="6"/>
  <c r="Y9" i="6"/>
  <c r="R11" i="6"/>
  <c r="F5" i="6"/>
  <c r="V7" i="6"/>
  <c r="U16" i="6"/>
  <c r="AD7" i="6"/>
  <c r="F23" i="6"/>
  <c r="T22" i="6"/>
  <c r="V26" i="6"/>
  <c r="L31" i="6"/>
  <c r="AE14" i="6"/>
  <c r="AB13" i="6"/>
  <c r="AE27" i="6"/>
  <c r="F13" i="6"/>
  <c r="V9" i="6"/>
  <c r="U28" i="6"/>
  <c r="L10" i="6"/>
  <c r="AF13" i="6"/>
  <c r="Y28" i="6"/>
  <c r="U6" i="6"/>
  <c r="W28" i="6"/>
  <c r="L7" i="6"/>
  <c r="Z20" i="6"/>
  <c r="G17" i="6"/>
  <c r="F26" i="6"/>
  <c r="P28" i="6"/>
  <c r="P8" i="6"/>
  <c r="AF11" i="6"/>
  <c r="AA25" i="6"/>
  <c r="E5" i="6"/>
  <c r="AF6" i="6"/>
  <c r="AE25" i="6"/>
  <c r="I28" i="6"/>
  <c r="AD12" i="6"/>
  <c r="W27" i="6"/>
  <c r="H10" i="6"/>
  <c r="U27" i="6"/>
  <c r="N8" i="6"/>
  <c r="J20" i="6"/>
  <c r="S23" i="6"/>
  <c r="Z19" i="6"/>
  <c r="AB27" i="6"/>
  <c r="F11" i="6"/>
  <c r="AB5" i="6"/>
  <c r="AE19" i="6"/>
  <c r="G6" i="6"/>
  <c r="L11" i="6"/>
  <c r="AA23" i="6"/>
  <c r="I30" i="6"/>
  <c r="X5" i="6"/>
  <c r="U26" i="6"/>
  <c r="J11" i="6"/>
  <c r="AE16" i="6"/>
  <c r="R10" i="6"/>
  <c r="C19" i="6"/>
  <c r="AC20" i="6"/>
  <c r="Z18" i="6"/>
  <c r="P20" i="6"/>
  <c r="I27" i="6"/>
  <c r="T5" i="6"/>
  <c r="AA11" i="6"/>
  <c r="I7" i="6"/>
  <c r="N12" i="6"/>
  <c r="AA10" i="6"/>
  <c r="I32" i="6"/>
  <c r="AE4" i="6"/>
  <c r="W15" i="6"/>
  <c r="L12" i="6"/>
  <c r="AD15" i="6"/>
  <c r="E26" i="6"/>
  <c r="C16" i="6"/>
  <c r="Q12" i="6"/>
  <c r="D6" i="6"/>
  <c r="AB19" i="6"/>
  <c r="I13" i="6"/>
  <c r="AA4" i="6"/>
  <c r="AE9" i="6"/>
  <c r="AE20" i="6"/>
  <c r="P13" i="6"/>
  <c r="S10" i="6"/>
  <c r="Y31" i="6"/>
  <c r="J4" i="6"/>
  <c r="S13" i="6"/>
  <c r="Q27" i="6"/>
  <c r="V15" i="6"/>
  <c r="E28" i="6"/>
  <c r="AE32" i="6"/>
  <c r="G22" i="6"/>
  <c r="H19" i="6"/>
  <c r="AB18" i="6"/>
  <c r="S32" i="6"/>
  <c r="Z9" i="6"/>
  <c r="M17" i="6"/>
  <c r="Q10" i="6"/>
  <c r="W9" i="6"/>
  <c r="O13" i="6"/>
  <c r="Y29" i="6"/>
  <c r="P15" i="6"/>
  <c r="O9" i="6"/>
  <c r="N16" i="6"/>
  <c r="D11" i="6"/>
  <c r="O6" i="6"/>
  <c r="Z14" i="6"/>
  <c r="E4" i="6"/>
  <c r="J19" i="6"/>
  <c r="J27" i="6"/>
  <c r="K4" i="6"/>
  <c r="AA24" i="6"/>
  <c r="AD9" i="6"/>
  <c r="K20" i="6"/>
  <c r="K28" i="6"/>
  <c r="AC6" i="6"/>
  <c r="AC25" i="6"/>
  <c r="AA18" i="6"/>
  <c r="S16" i="6"/>
  <c r="H23" i="6"/>
  <c r="E30" i="6"/>
  <c r="W7" i="6"/>
  <c r="R5" i="6"/>
  <c r="AC19" i="6"/>
  <c r="AC29" i="6"/>
  <c r="X23" i="6"/>
  <c r="O31" i="6"/>
  <c r="G29" i="6"/>
  <c r="N29" i="6"/>
  <c r="R22" i="6"/>
  <c r="C21" i="6"/>
  <c r="L18" i="6"/>
  <c r="AB32" i="6"/>
  <c r="P25" i="6"/>
  <c r="X17" i="6"/>
  <c r="F16" i="6"/>
  <c r="M26" i="6"/>
  <c r="O11" i="6"/>
  <c r="R33" i="6"/>
  <c r="N28" i="6"/>
  <c r="V22" i="6"/>
  <c r="Q33" i="6"/>
  <c r="K13" i="6"/>
  <c r="O22" i="6"/>
  <c r="P32" i="6"/>
  <c r="L27" i="6"/>
  <c r="H22" i="6"/>
  <c r="S34" i="6"/>
  <c r="S27" i="6"/>
  <c r="U9" i="6"/>
  <c r="J13" i="6"/>
  <c r="I5" i="6"/>
  <c r="AE30" i="6"/>
  <c r="AA20" i="6"/>
  <c r="Z12" i="6"/>
  <c r="X7" i="6"/>
  <c r="H7" i="6"/>
  <c r="M18" i="6"/>
  <c r="G13" i="6"/>
  <c r="AC26" i="6"/>
  <c r="Y16" i="6"/>
  <c r="Y10" i="6"/>
  <c r="W5" i="6"/>
  <c r="P10" i="6"/>
  <c r="Q24" i="6"/>
  <c r="M9" i="6"/>
  <c r="AA26" i="6"/>
  <c r="W16" i="6"/>
  <c r="X10" i="6"/>
  <c r="V5" i="6"/>
  <c r="J10" i="6"/>
  <c r="E23" i="6"/>
  <c r="K7" i="6"/>
  <c r="J17" i="6"/>
  <c r="W21" i="6"/>
  <c r="Y13" i="6"/>
  <c r="AE8" i="6"/>
  <c r="W4" i="6"/>
  <c r="N11" i="6"/>
  <c r="I24" i="6"/>
  <c r="G8" i="6"/>
  <c r="U29" i="6"/>
  <c r="S20" i="6"/>
  <c r="X13" i="6"/>
  <c r="AD8" i="6"/>
  <c r="V4" i="6"/>
  <c r="J12" i="6"/>
  <c r="E14" i="6"/>
  <c r="AE31" i="6"/>
  <c r="AC22" i="6"/>
  <c r="AC14" i="6"/>
  <c r="U10" i="6"/>
  <c r="AA5" i="6"/>
  <c r="F9" i="6"/>
  <c r="Q19" i="6"/>
  <c r="M5" i="6"/>
  <c r="AC31" i="6"/>
  <c r="AA22" i="6"/>
  <c r="AB14" i="6"/>
  <c r="T10" i="6"/>
  <c r="Z5" i="6"/>
  <c r="P9" i="6"/>
  <c r="E21" i="6"/>
  <c r="Q6" i="6"/>
  <c r="AC32" i="6"/>
  <c r="J28" i="6"/>
  <c r="C20" i="6"/>
  <c r="D18" i="6"/>
  <c r="X31" i="6"/>
  <c r="AB24" i="6"/>
  <c r="Z16" i="6"/>
  <c r="C12" i="6"/>
  <c r="N21" i="6"/>
  <c r="W33" i="6"/>
  <c r="AD25" i="6"/>
  <c r="I34" i="6"/>
  <c r="G24" i="6"/>
  <c r="P29" i="6"/>
  <c r="AB20" i="6"/>
  <c r="D14" i="6"/>
  <c r="Q4" i="6"/>
  <c r="G31" i="6"/>
  <c r="F30" i="6"/>
  <c r="N24" i="6"/>
  <c r="AB16" i="6"/>
  <c r="O17" i="6"/>
  <c r="O28" i="6"/>
  <c r="H30" i="6"/>
  <c r="P24" i="6"/>
  <c r="AB17" i="6"/>
  <c r="E15" i="6"/>
  <c r="W10" i="6"/>
  <c r="N15" i="6"/>
  <c r="M7" i="6"/>
  <c r="W26" i="6"/>
  <c r="X15" i="6"/>
  <c r="AB9" i="6"/>
  <c r="R4" i="6"/>
  <c r="M16" i="6"/>
  <c r="K19" i="6"/>
  <c r="W23" i="6"/>
  <c r="AE13" i="6"/>
  <c r="U8" i="6"/>
  <c r="H6" i="6"/>
  <c r="Q20" i="6"/>
  <c r="K8" i="6"/>
  <c r="Y25" i="6"/>
  <c r="X14" i="6"/>
  <c r="AB8" i="6"/>
  <c r="P5" i="6"/>
  <c r="E16" i="6"/>
  <c r="G5" i="6"/>
  <c r="K26" i="6"/>
  <c r="S19" i="6"/>
  <c r="W12" i="6"/>
  <c r="U7" i="6"/>
  <c r="F7" i="6"/>
  <c r="I18" i="6"/>
  <c r="Q5" i="6"/>
  <c r="W30" i="6"/>
  <c r="AE18" i="6"/>
  <c r="V12" i="6"/>
  <c r="T7" i="6"/>
  <c r="P7" i="6"/>
  <c r="M19" i="6"/>
  <c r="C5" i="6"/>
  <c r="AE23" i="6"/>
  <c r="U14" i="6"/>
  <c r="S9" i="6"/>
  <c r="C34" i="6"/>
  <c r="N13" i="6"/>
  <c r="Q29" i="6"/>
  <c r="K12" i="6"/>
  <c r="AC23" i="6"/>
  <c r="T14" i="6"/>
  <c r="AF8" i="6"/>
  <c r="F4" i="6"/>
  <c r="J14" i="6"/>
  <c r="E32" i="6"/>
  <c r="AF33" i="6"/>
  <c r="Z24" i="6"/>
  <c r="W34" i="6"/>
  <c r="O26" i="6"/>
  <c r="L28" i="6"/>
  <c r="X18" i="6"/>
  <c r="U32" i="6"/>
  <c r="G7" i="6"/>
  <c r="Y32" i="6"/>
  <c r="R29" i="6"/>
  <c r="Z23" i="6"/>
  <c r="E34" i="6"/>
  <c r="J18" i="6"/>
  <c r="K31" i="6"/>
  <c r="T29" i="6"/>
  <c r="AB23" i="6"/>
  <c r="AD16" i="6"/>
  <c r="AA31" i="6"/>
  <c r="S8" i="6"/>
  <c r="I19" i="6"/>
  <c r="Q9" i="6"/>
  <c r="U25" i="6"/>
  <c r="AD14" i="6"/>
  <c r="T9" i="6"/>
  <c r="F6" i="6"/>
  <c r="M20" i="6"/>
  <c r="H17" i="6"/>
  <c r="U22" i="6"/>
  <c r="W13" i="6"/>
  <c r="AA7" i="6"/>
  <c r="L8" i="6"/>
  <c r="O10" i="6"/>
  <c r="U23" i="6"/>
  <c r="AD13" i="6"/>
  <c r="T8" i="6"/>
  <c r="R6" i="6"/>
  <c r="E18" i="6"/>
  <c r="I6" i="6"/>
  <c r="G18" i="6"/>
  <c r="AE17" i="6"/>
  <c r="AC11" i="6"/>
  <c r="AA6" i="6"/>
  <c r="H8" i="6"/>
  <c r="I20" i="6"/>
  <c r="E7" i="6"/>
  <c r="S28" i="6"/>
  <c r="AC17" i="6"/>
  <c r="AB11" i="6"/>
  <c r="Z6" i="6"/>
  <c r="R8" i="6"/>
  <c r="M21" i="6"/>
  <c r="C17" i="6"/>
  <c r="AA21" i="6"/>
  <c r="AA13" i="6"/>
  <c r="Y8" i="6"/>
  <c r="L4" i="6"/>
  <c r="P14" i="6"/>
  <c r="Q31" i="6"/>
  <c r="M13" i="6"/>
  <c r="Y21" i="6"/>
  <c r="Z13" i="6"/>
  <c r="X8" i="6"/>
  <c r="H5" i="6"/>
  <c r="L15" i="6"/>
  <c r="M4" i="6"/>
  <c r="Z32" i="6"/>
  <c r="V23" i="6"/>
  <c r="C28" i="6"/>
  <c r="K29" i="6"/>
  <c r="X27" i="6"/>
  <c r="G34" i="6"/>
  <c r="AE29" i="6"/>
  <c r="I8" i="6"/>
  <c r="O33" i="6"/>
  <c r="AD28" i="6"/>
  <c r="F22" i="6"/>
  <c r="U34" i="6"/>
  <c r="D16" i="6"/>
  <c r="M33" i="6"/>
  <c r="L23" i="6"/>
  <c r="AF15" i="6"/>
  <c r="Y22" i="6"/>
  <c r="AE6" i="6"/>
  <c r="E11" i="6"/>
  <c r="S24" i="6"/>
  <c r="V14" i="6"/>
  <c r="J8" i="6"/>
  <c r="C18" i="6"/>
  <c r="AC12" i="6"/>
  <c r="S7" i="6"/>
  <c r="Q26" i="6"/>
  <c r="S22" i="6"/>
  <c r="V13" i="6"/>
  <c r="F8" i="6"/>
  <c r="M8" i="6"/>
  <c r="C9" i="6"/>
  <c r="U11" i="6"/>
  <c r="S6" i="6"/>
  <c r="I22" i="6"/>
  <c r="I9" i="6"/>
  <c r="AA16" i="6"/>
  <c r="AF5" i="6"/>
  <c r="G23" i="6"/>
  <c r="AC30" i="6"/>
  <c r="Q22" i="6"/>
  <c r="AF28" i="6"/>
  <c r="I23" i="6"/>
  <c r="AF7" i="6"/>
  <c r="M22" i="6"/>
  <c r="S21" i="6"/>
  <c r="N9" i="6"/>
  <c r="Q11" i="6"/>
  <c r="Z7" i="6"/>
  <c r="E20" i="6"/>
  <c r="AC16" i="6"/>
  <c r="J9" i="6"/>
  <c r="AE26" i="6"/>
  <c r="T11" i="6"/>
  <c r="F10" i="6"/>
  <c r="Y20" i="6"/>
  <c r="E24" i="6"/>
  <c r="S18" i="6"/>
  <c r="Q25" i="6"/>
  <c r="AE15" i="6"/>
  <c r="N14" i="6"/>
  <c r="T15" i="6"/>
  <c r="AE34" i="6"/>
  <c r="Y30" i="6"/>
  <c r="H9" i="6"/>
  <c r="AC27" i="6"/>
  <c r="AD34" i="6"/>
  <c r="H15" i="6"/>
  <c r="U17" i="6"/>
  <c r="L6" i="6"/>
  <c r="AF20" i="6"/>
  <c r="AB31" i="6"/>
  <c r="N20" i="6"/>
  <c r="V30" i="6"/>
  <c r="M10" i="6"/>
  <c r="D33" i="6"/>
  <c r="H27" i="6"/>
  <c r="D8" i="6"/>
  <c r="F27" i="6"/>
  <c r="E19" i="6"/>
  <c r="V11" i="6"/>
  <c r="Q23" i="6"/>
  <c r="AA9" i="6"/>
  <c r="L13" i="6"/>
  <c r="AB15" i="6"/>
  <c r="AF4" i="6"/>
  <c r="D15" i="6"/>
  <c r="N4" i="6"/>
  <c r="AE28" i="6"/>
  <c r="U4" i="6"/>
  <c r="U30" i="6"/>
  <c r="AD6" i="6"/>
  <c r="K6" i="6"/>
  <c r="D23" i="6"/>
  <c r="AF32" i="6"/>
  <c r="AD20" i="6"/>
  <c r="K9" i="6"/>
  <c r="D34" i="6"/>
  <c r="G19" i="6"/>
  <c r="V27" i="6"/>
  <c r="K11" i="6"/>
  <c r="J6" i="6"/>
  <c r="AB10" i="6"/>
  <c r="AA30" i="6"/>
  <c r="R7" i="6"/>
  <c r="AE7" i="6"/>
  <c r="AA29" i="6"/>
  <c r="AB7" i="6"/>
  <c r="Q13" i="6"/>
  <c r="I26" i="6"/>
  <c r="AE12" i="6"/>
  <c r="E31" i="6"/>
  <c r="Z11" i="6"/>
  <c r="Q30" i="6"/>
  <c r="U12" i="6"/>
  <c r="S29" i="6"/>
  <c r="V6" i="6"/>
  <c r="G12" i="6"/>
  <c r="D31" i="6"/>
  <c r="D13" i="6"/>
  <c r="I10" i="6"/>
  <c r="X4" i="6"/>
  <c r="U19" i="6"/>
  <c r="I11" i="6"/>
  <c r="P6" i="6"/>
  <c r="S17" i="6"/>
  <c r="P18" i="6"/>
  <c r="V8" i="6"/>
  <c r="O12" i="6"/>
  <c r="I16" i="6"/>
  <c r="S14" i="6"/>
  <c r="E29" i="6"/>
  <c r="T12" i="6"/>
  <c r="Q28" i="6"/>
  <c r="Y14" i="6"/>
  <c r="F14" i="6"/>
  <c r="W18" i="6"/>
  <c r="AB4" i="6"/>
  <c r="X22" i="6"/>
  <c r="O14" i="6"/>
  <c r="J31" i="6"/>
  <c r="AF29" i="6"/>
  <c r="G9" i="6"/>
  <c r="E17" i="6"/>
  <c r="Y4" i="6"/>
  <c r="AD11" i="6"/>
  <c r="W20" i="6"/>
  <c r="G10" i="6"/>
  <c r="Q21" i="6"/>
  <c r="N5" i="6"/>
  <c r="AC10" i="6"/>
  <c r="U18" i="6"/>
  <c r="G16" i="6"/>
  <c r="H11" i="6"/>
  <c r="X9" i="6"/>
  <c r="U21" i="6"/>
  <c r="M11" i="6"/>
  <c r="F15" i="6"/>
  <c r="Y5" i="6"/>
  <c r="AA14" i="6"/>
  <c r="K23" i="6"/>
  <c r="E27" i="6"/>
  <c r="T4" i="6"/>
  <c r="AB12" i="6"/>
  <c r="S30" i="6"/>
  <c r="Q18" i="6"/>
  <c r="AD4" i="6"/>
  <c r="S15" i="6"/>
  <c r="W31" i="6"/>
  <c r="P11" i="6"/>
  <c r="V10" i="6"/>
  <c r="AC21" i="6"/>
  <c r="G4" i="6"/>
  <c r="AC5" i="6"/>
  <c r="D32" i="6"/>
  <c r="AF24" i="6"/>
  <c r="T33" i="6"/>
  <c r="O23" i="6"/>
  <c r="R21" i="6"/>
  <c r="Z31" i="6"/>
  <c r="M32" i="6"/>
  <c r="D4" i="6"/>
  <c r="T30" i="6"/>
  <c r="K14" i="6"/>
  <c r="AD29" i="6"/>
  <c r="E8" i="6"/>
  <c r="H13" i="6"/>
  <c r="T6" i="6"/>
  <c r="X12" i="6"/>
  <c r="AE24" i="6"/>
  <c r="E9" i="6"/>
  <c r="Q17" i="6"/>
  <c r="Z4" i="6"/>
  <c r="W11" i="6"/>
  <c r="W19" i="6"/>
  <c r="C7" i="6"/>
  <c r="N6" i="6"/>
  <c r="AF9" i="6"/>
  <c r="W22" i="6"/>
  <c r="K10" i="6"/>
  <c r="R13" i="6"/>
  <c r="AC7" i="6"/>
  <c r="U15" i="6"/>
  <c r="M14" i="6"/>
  <c r="E25" i="6"/>
  <c r="AC4" i="6"/>
  <c r="AF14" i="6"/>
  <c r="U31" i="6"/>
  <c r="J15" i="6"/>
  <c r="AE5" i="6"/>
  <c r="AA17" i="6"/>
  <c r="D9" i="6"/>
  <c r="N10" i="6"/>
  <c r="AD10" i="6"/>
  <c r="AE22" i="6"/>
  <c r="I31" i="6"/>
  <c r="Y11" i="6"/>
  <c r="D24" i="6"/>
  <c r="T25" i="6"/>
  <c r="P34" i="6"/>
  <c r="C4" i="6"/>
  <c r="AD24" i="6"/>
  <c r="AD32" i="6"/>
  <c r="M28" i="6"/>
  <c r="V34" i="6"/>
  <c r="H34" i="6"/>
  <c r="X16" i="6"/>
  <c r="R30" i="6"/>
  <c r="O5" i="6"/>
  <c r="F12" i="6"/>
  <c r="AB6" i="6"/>
  <c r="AF12" i="6"/>
  <c r="S26" i="6"/>
  <c r="Q7" i="6"/>
  <c r="R15" i="6"/>
  <c r="S5" i="6"/>
  <c r="AE11" i="6"/>
  <c r="S25" i="6"/>
  <c r="F18" i="6"/>
  <c r="L5" i="6"/>
  <c r="Z10" i="6"/>
  <c r="Y23" i="6"/>
  <c r="O4" i="6"/>
  <c r="P12" i="6"/>
  <c r="W8" i="6"/>
  <c r="AC15" i="6"/>
  <c r="E12" i="6"/>
  <c r="R14" i="6"/>
  <c r="AD5" i="6"/>
  <c r="Y17" i="6"/>
  <c r="G14" i="6"/>
  <c r="H14" i="6"/>
  <c r="AC8" i="6"/>
  <c r="AC18" i="6"/>
  <c r="D12" i="6"/>
  <c r="L9" i="6"/>
  <c r="X11" i="6"/>
  <c r="Y27" i="6"/>
  <c r="I29" i="6"/>
  <c r="AC13" i="6"/>
  <c r="AC34" i="6"/>
  <c r="X26" i="6"/>
  <c r="G26" i="6"/>
  <c r="C27" i="6"/>
  <c r="R25" i="6"/>
  <c r="L34" i="6"/>
  <c r="M24" i="6"/>
  <c r="P21" i="6"/>
  <c r="S33" i="6"/>
  <c r="V17" i="6"/>
  <c r="J32" i="6"/>
  <c r="D168" i="5"/>
  <c r="X6" i="6"/>
  <c r="AF10" i="6"/>
  <c r="Z15" i="6"/>
  <c r="W24" i="6"/>
  <c r="E13" i="6"/>
  <c r="Q32" i="6"/>
  <c r="Q16" i="6"/>
  <c r="J7" i="6"/>
  <c r="Y6" i="6"/>
  <c r="S11" i="6"/>
  <c r="AA15" i="6"/>
  <c r="Y24" i="6"/>
  <c r="D7" i="6"/>
  <c r="M15" i="6"/>
  <c r="R12" i="6"/>
  <c r="AB34" i="6"/>
  <c r="Z8" i="6"/>
  <c r="T13" i="6"/>
  <c r="Y19" i="6"/>
  <c r="AA28" i="6"/>
  <c r="O8" i="6"/>
  <c r="I25" i="6"/>
  <c r="H4" i="6"/>
  <c r="AA12" i="6"/>
  <c r="H18" i="6"/>
  <c r="AE33" i="6"/>
  <c r="T21" i="6"/>
  <c r="H26" i="6"/>
  <c r="X30" i="6"/>
  <c r="AA32" i="6"/>
  <c r="K15" i="6"/>
  <c r="C26" i="6"/>
  <c r="Z17" i="6"/>
  <c r="J23" i="6"/>
  <c r="Z27" i="6"/>
  <c r="N32" i="6"/>
  <c r="O25" i="6"/>
  <c r="E6" i="6"/>
  <c r="W25" i="6"/>
  <c r="D25" i="6"/>
  <c r="L20" i="6"/>
  <c r="AF25" i="6"/>
  <c r="L32" i="6"/>
  <c r="C14" i="6"/>
  <c r="K22" i="6"/>
  <c r="V18" i="6"/>
  <c r="N25" i="6"/>
  <c r="V31" i="6"/>
  <c r="M12" i="6"/>
  <c r="B28" i="6"/>
  <c r="B26" i="6"/>
  <c r="B33" i="6"/>
  <c r="B23" i="6"/>
  <c r="B22" i="6"/>
  <c r="B21" i="6"/>
  <c r="B20" i="6"/>
  <c r="M30" i="6"/>
  <c r="E22" i="6"/>
  <c r="AA27" i="6"/>
  <c r="L19" i="6"/>
  <c r="B29" i="6"/>
  <c r="D26" i="6"/>
  <c r="U33" i="6"/>
  <c r="X19" i="6"/>
  <c r="AF21" i="6"/>
  <c r="L24" i="6"/>
  <c r="T26" i="6"/>
  <c r="AB28" i="6"/>
  <c r="H31" i="6"/>
  <c r="P33" i="6"/>
  <c r="G32" i="6"/>
  <c r="Q14" i="6"/>
  <c r="K17" i="6"/>
  <c r="N17" i="6"/>
  <c r="B24" i="6"/>
  <c r="C29" i="6"/>
  <c r="Y33" i="6"/>
  <c r="V19" i="6"/>
  <c r="AD21" i="6"/>
  <c r="J24" i="6"/>
  <c r="R26" i="6"/>
  <c r="Z28" i="6"/>
  <c r="F31" i="6"/>
  <c r="N33" i="6"/>
  <c r="B18" i="6"/>
  <c r="B6" i="6"/>
  <c r="B16" i="6"/>
  <c r="B10" i="6"/>
  <c r="B8" i="6"/>
  <c r="B4" i="6"/>
  <c r="B12" i="6"/>
  <c r="B7" i="6"/>
  <c r="B13" i="6"/>
  <c r="B15" i="6"/>
  <c r="O20" i="6"/>
  <c r="O27" i="6"/>
  <c r="K30" i="6"/>
  <c r="N34" i="6"/>
  <c r="I33" i="6"/>
  <c r="T34" i="6"/>
  <c r="V33" i="6"/>
  <c r="F33" i="6"/>
  <c r="R32" i="6"/>
  <c r="AD31" i="6"/>
  <c r="N31" i="6"/>
  <c r="Z30" i="6"/>
  <c r="J30" i="6"/>
  <c r="V29" i="6"/>
  <c r="F29" i="6"/>
  <c r="R28" i="6"/>
  <c r="AD27" i="6"/>
  <c r="N27" i="6"/>
  <c r="Z26" i="6"/>
  <c r="J26" i="6"/>
  <c r="V25" i="6"/>
  <c r="F25" i="6"/>
  <c r="R24" i="6"/>
  <c r="AD23" i="6"/>
  <c r="N23" i="6"/>
  <c r="Z22" i="6"/>
  <c r="J22" i="6"/>
  <c r="V21" i="6"/>
  <c r="F21" i="6"/>
  <c r="R20" i="6"/>
  <c r="AD19" i="6"/>
  <c r="AD18" i="6"/>
  <c r="AD17" i="6"/>
  <c r="AF16" i="6"/>
  <c r="P16" i="6"/>
  <c r="AC33" i="6"/>
  <c r="Q34" i="6"/>
  <c r="AA34" i="6"/>
  <c r="C25" i="6"/>
  <c r="C33" i="6"/>
  <c r="C24" i="6"/>
  <c r="C32" i="6"/>
  <c r="O16" i="6"/>
  <c r="B25" i="6"/>
  <c r="B27" i="6"/>
  <c r="K16" i="6"/>
  <c r="F19" i="6"/>
  <c r="J16" i="6"/>
  <c r="B14" i="6"/>
  <c r="B11" i="6"/>
  <c r="I14" i="6"/>
  <c r="P19" i="6"/>
  <c r="L16" i="6"/>
  <c r="C13" i="6"/>
  <c r="B9" i="6"/>
  <c r="D19" i="6"/>
  <c r="K21" i="6"/>
  <c r="K25" i="6"/>
  <c r="G28" i="6"/>
  <c r="O30" i="6"/>
  <c r="W32" i="6"/>
  <c r="K33" i="6"/>
  <c r="AF34" i="6"/>
  <c r="X33" i="6"/>
  <c r="H33" i="6"/>
  <c r="T32" i="6"/>
  <c r="AF31" i="6"/>
  <c r="P31" i="6"/>
  <c r="AB30" i="6"/>
  <c r="L30" i="6"/>
  <c r="X29" i="6"/>
  <c r="H29" i="6"/>
  <c r="T28" i="6"/>
  <c r="AF27" i="6"/>
  <c r="P27" i="6"/>
  <c r="AB26" i="6"/>
  <c r="L26" i="6"/>
  <c r="X25" i="6"/>
  <c r="H25" i="6"/>
  <c r="T24" i="6"/>
  <c r="AF23" i="6"/>
  <c r="P23" i="6"/>
  <c r="AB22" i="6"/>
  <c r="L22" i="6"/>
  <c r="X21" i="6"/>
  <c r="H21" i="6"/>
  <c r="T20" i="6"/>
  <c r="AF19" i="6"/>
  <c r="AF18" i="6"/>
  <c r="AF17" i="6"/>
  <c r="P17" i="6"/>
  <c r="R16" i="6"/>
  <c r="R34" i="6"/>
  <c r="O34" i="6"/>
  <c r="Z34" i="6"/>
  <c r="D22" i="6"/>
  <c r="D30" i="6"/>
  <c r="D21" i="6"/>
  <c r="D29" i="6"/>
  <c r="O15" i="6"/>
  <c r="B31" i="6"/>
  <c r="N18" i="6"/>
  <c r="C15" i="6"/>
  <c r="G15" i="6"/>
  <c r="H16" i="6"/>
  <c r="C10" i="6"/>
  <c r="S31" i="6"/>
  <c r="AC28" i="6"/>
  <c r="Y26" i="6"/>
  <c r="U24" i="6"/>
  <c r="AE21" i="6"/>
  <c r="AA19" i="6"/>
  <c r="M23" i="6"/>
  <c r="M25" i="6"/>
  <c r="M27" i="6"/>
  <c r="M29" i="6"/>
  <c r="M31" i="6"/>
  <c r="I4" i="6"/>
  <c r="K5" i="6"/>
  <c r="M6" i="6"/>
  <c r="O7" i="6"/>
  <c r="Q8" i="6"/>
  <c r="E10" i="6"/>
  <c r="G11" i="6"/>
  <c r="I12" i="6"/>
  <c r="Q15" i="6"/>
  <c r="K24" i="6"/>
  <c r="G27" i="6"/>
  <c r="O29" i="6"/>
  <c r="K32" i="6"/>
  <c r="E33" i="6"/>
  <c r="F34" i="6"/>
  <c r="Z33" i="6"/>
  <c r="J33" i="6"/>
  <c r="V32" i="6"/>
  <c r="F32" i="6"/>
  <c r="R31" i="6"/>
  <c r="AD30" i="6"/>
  <c r="N30" i="6"/>
  <c r="Z29" i="6"/>
  <c r="J29" i="6"/>
  <c r="V28" i="6"/>
  <c r="F28" i="6"/>
  <c r="R27" i="6"/>
  <c r="AD26" i="6"/>
  <c r="N26" i="6"/>
  <c r="Z25" i="6"/>
  <c r="J25" i="6"/>
  <c r="V24" i="6"/>
  <c r="F24" i="6"/>
  <c r="R23" i="6"/>
  <c r="AD22" i="6"/>
  <c r="N22" i="6"/>
  <c r="Z21" i="6"/>
  <c r="J21" i="6"/>
  <c r="V20" i="6"/>
  <c r="F20" i="6"/>
  <c r="R19" i="6"/>
  <c r="R18" i="6"/>
  <c r="R17" i="6"/>
  <c r="T16" i="6"/>
  <c r="J34" i="6"/>
  <c r="M34" i="6"/>
  <c r="Y34" i="6"/>
  <c r="C23" i="6"/>
  <c r="C31" i="6"/>
  <c r="C22" i="6"/>
  <c r="C30" i="6"/>
  <c r="G21" i="6"/>
  <c r="B32" i="6"/>
  <c r="B34" i="6"/>
  <c r="I15" i="6"/>
  <c r="N19" i="6"/>
  <c r="F17" i="6"/>
  <c r="C11" i="6"/>
  <c r="C8" i="6"/>
  <c r="B19" i="6"/>
  <c r="O18" i="6"/>
  <c r="L17" i="6"/>
  <c r="D10" i="6"/>
  <c r="C6" i="6"/>
  <c r="B17" i="6"/>
  <c r="G20" i="6"/>
  <c r="O24" i="6"/>
  <c r="K27" i="6"/>
  <c r="G30" i="6"/>
  <c r="O32" i="6"/>
  <c r="G33" i="6"/>
  <c r="AA33" i="6"/>
  <c r="AB33" i="6"/>
  <c r="L33" i="6"/>
  <c r="X32" i="6"/>
  <c r="H32" i="6"/>
  <c r="T31" i="6"/>
  <c r="AF30" i="6"/>
  <c r="P30" i="6"/>
  <c r="AB29" i="6"/>
  <c r="L29" i="6"/>
  <c r="X28" i="6"/>
  <c r="H28" i="6"/>
  <c r="T27" i="6"/>
  <c r="AF26" i="6"/>
  <c r="P26" i="6"/>
  <c r="AB25" i="6"/>
  <c r="L25" i="6"/>
  <c r="X24" i="6"/>
  <c r="H24" i="6"/>
  <c r="T23" i="6"/>
  <c r="AF22" i="6"/>
  <c r="P22" i="6"/>
  <c r="AB21" i="6"/>
  <c r="L21" i="6"/>
  <c r="X20" i="6"/>
  <c r="H20" i="6"/>
  <c r="T19" i="6"/>
  <c r="T18" i="6"/>
  <c r="T17" i="6"/>
  <c r="V16" i="6"/>
  <c r="AD33" i="6"/>
  <c r="K34" i="6"/>
  <c r="X34" i="6"/>
  <c r="D20" i="6"/>
  <c r="D28" i="6"/>
  <c r="D5" i="6"/>
  <c r="D27" i="6"/>
  <c r="O21" i="6"/>
  <c r="B30" i="6"/>
  <c r="O19" i="6"/>
  <c r="D17" i="6"/>
  <c r="B5" i="6"/>
  <c r="W29" i="6"/>
  <c r="AC24" i="6"/>
  <c r="U20" i="6"/>
  <c r="W17" i="6"/>
  <c r="Y15" i="6"/>
  <c r="W14" i="6"/>
  <c r="U13" i="6"/>
  <c r="S12" i="6"/>
  <c r="AE10" i="6"/>
  <c r="AC9" i="6"/>
  <c r="AA8" i="6"/>
  <c r="Y7" i="6"/>
  <c r="W6" i="6"/>
  <c r="U5" i="6"/>
  <c r="S4" i="6"/>
  <c r="J5" i="6"/>
  <c r="N7" i="6"/>
  <c r="R9" i="6"/>
  <c r="H12" i="6"/>
  <c r="L14" i="6"/>
  <c r="I17" i="6"/>
  <c r="I21" i="6"/>
  <c r="P142" i="5" l="1"/>
  <c r="Q142" i="5" s="1"/>
  <c r="AG30" i="6"/>
  <c r="J174" i="5" s="1"/>
  <c r="AG12" i="6"/>
  <c r="J156" i="5" s="1"/>
  <c r="AG7" i="6"/>
  <c r="J151" i="5" s="1"/>
  <c r="AG28" i="6"/>
  <c r="J172" i="5" s="1"/>
  <c r="AG26" i="6"/>
  <c r="J170" i="5" s="1"/>
  <c r="AG5" i="6"/>
  <c r="J149" i="5" s="1"/>
  <c r="L149" i="5" s="1"/>
  <c r="AG20" i="6"/>
  <c r="J164" i="5" s="1"/>
  <c r="AG17" i="6"/>
  <c r="J161" i="5" s="1"/>
  <c r="AG8" i="6"/>
  <c r="J152" i="5" s="1"/>
  <c r="AG32" i="6"/>
  <c r="J176" i="5" s="1"/>
  <c r="AG4" i="6"/>
  <c r="AG10" i="6"/>
  <c r="J154" i="5" s="1"/>
  <c r="AG18" i="6"/>
  <c r="J162" i="5" s="1"/>
  <c r="AG21" i="6"/>
  <c r="J165" i="5" s="1"/>
  <c r="AG13" i="6"/>
  <c r="J157" i="5" s="1"/>
  <c r="AG11" i="6"/>
  <c r="J155" i="5" s="1"/>
  <c r="AG25" i="6"/>
  <c r="J169" i="5" s="1"/>
  <c r="AG33" i="6"/>
  <c r="J177" i="5" s="1"/>
  <c r="AG6" i="6"/>
  <c r="J150" i="5" s="1"/>
  <c r="AG19" i="6"/>
  <c r="J163" i="5" s="1"/>
  <c r="AG34" i="6"/>
  <c r="J178" i="5" s="1"/>
  <c r="AG22" i="6"/>
  <c r="J166" i="5" s="1"/>
  <c r="L166" i="5" s="1"/>
  <c r="AG23" i="6"/>
  <c r="J167" i="5" s="1"/>
  <c r="AG16" i="6"/>
  <c r="J160" i="5" s="1"/>
  <c r="AG15" i="6"/>
  <c r="J159" i="5" s="1"/>
  <c r="AG31" i="6"/>
  <c r="J175" i="5" s="1"/>
  <c r="L175" i="5" s="1"/>
  <c r="AG29" i="6"/>
  <c r="J173" i="5" s="1"/>
  <c r="AG9" i="6"/>
  <c r="J153" i="5" s="1"/>
  <c r="AG14" i="6"/>
  <c r="J158" i="5" s="1"/>
  <c r="AG27" i="6"/>
  <c r="J171" i="5" s="1"/>
  <c r="AG24" i="6"/>
  <c r="J168" i="5" s="1"/>
  <c r="L168" i="5" l="1"/>
  <c r="L157" i="5"/>
  <c r="L153" i="5"/>
  <c r="L177" i="5"/>
  <c r="M177" i="5" s="1"/>
  <c r="L162" i="5"/>
  <c r="L156" i="5"/>
  <c r="L167" i="5"/>
  <c r="L150" i="5"/>
  <c r="L158" i="5"/>
  <c r="L170" i="5"/>
  <c r="L172" i="5"/>
  <c r="L164" i="5"/>
  <c r="L171" i="5"/>
  <c r="L165" i="5"/>
  <c r="L163" i="5"/>
  <c r="L154" i="5"/>
  <c r="L173" i="5"/>
  <c r="L151" i="5"/>
  <c r="L159" i="5"/>
  <c r="L169" i="5"/>
  <c r="L152" i="5"/>
  <c r="L174" i="5"/>
  <c r="L176" i="5"/>
  <c r="L160" i="5"/>
  <c r="L155" i="5"/>
  <c r="L161" i="5"/>
  <c r="Q144" i="5"/>
  <c r="X153" i="5"/>
  <c r="X168" i="5"/>
  <c r="X173" i="5"/>
  <c r="X167" i="5"/>
  <c r="X150" i="5"/>
  <c r="X157" i="5"/>
  <c r="X164" i="5"/>
  <c r="X151" i="5"/>
  <c r="X171" i="5"/>
  <c r="X177" i="5"/>
  <c r="X176" i="5"/>
  <c r="X156" i="5"/>
  <c r="X175" i="5"/>
  <c r="X166" i="5"/>
  <c r="X165" i="5"/>
  <c r="X158" i="5"/>
  <c r="X159" i="5"/>
  <c r="X169" i="5"/>
  <c r="X162" i="5"/>
  <c r="X152" i="5"/>
  <c r="X170" i="5"/>
  <c r="X174" i="5"/>
  <c r="X160" i="5"/>
  <c r="X163" i="5"/>
  <c r="X155" i="5"/>
  <c r="X154" i="5"/>
  <c r="X161" i="5"/>
  <c r="X172" i="5"/>
  <c r="H144" i="5" l="1"/>
  <c r="M175" i="5"/>
  <c r="M176" i="5"/>
  <c r="M164" i="5"/>
  <c r="M173" i="5"/>
  <c r="M148" i="5"/>
  <c r="M165" i="5"/>
  <c r="M174" i="5"/>
  <c r="M170" i="5"/>
  <c r="M168" i="5"/>
  <c r="M167" i="5"/>
  <c r="M172" i="5"/>
  <c r="M163" i="5"/>
  <c r="M171" i="5"/>
  <c r="M169" i="5"/>
  <c r="M162" i="5"/>
  <c r="M166" i="5"/>
  <c r="M161" i="5"/>
  <c r="M158" i="5"/>
  <c r="M153" i="5"/>
  <c r="M160" i="5"/>
  <c r="M154" i="5"/>
  <c r="M156" i="5"/>
  <c r="M150" i="5"/>
  <c r="M155" i="5"/>
  <c r="M157" i="5"/>
  <c r="M152" i="5"/>
  <c r="M151" i="5"/>
  <c r="M159" i="5"/>
  <c r="X149" i="5"/>
  <c r="X178" i="5"/>
  <c r="X179" i="5" l="1"/>
  <c r="L179" i="5"/>
  <c r="D178" i="5" s="1"/>
  <c r="C179" i="5" s="1"/>
  <c r="M149" i="5"/>
  <c r="S160" i="5" s="1"/>
  <c r="S162" i="5"/>
  <c r="T164" i="5" l="1"/>
  <c r="D173" i="5" l="1"/>
  <c r="C174" i="5" s="1"/>
</calcChain>
</file>

<file path=xl/sharedStrings.xml><?xml version="1.0" encoding="utf-8"?>
<sst xmlns="http://schemas.openxmlformats.org/spreadsheetml/2006/main" count="219" uniqueCount="190">
  <si>
    <t>Company Name:</t>
  </si>
  <si>
    <t>Date:</t>
  </si>
  <si>
    <t>Designed by:</t>
  </si>
  <si>
    <t>County/City Case No.:</t>
  </si>
  <si>
    <t>%</t>
  </si>
  <si>
    <t xml:space="preserve">Notes: </t>
  </si>
  <si>
    <t>ft</t>
  </si>
  <si>
    <t>A=</t>
  </si>
  <si>
    <t>Legend:</t>
  </si>
  <si>
    <t>Required Entries</t>
  </si>
  <si>
    <t>Calculated Cells</t>
  </si>
  <si>
    <t>Forebay Design</t>
  </si>
  <si>
    <t>Length =</t>
  </si>
  <si>
    <t>Width =</t>
  </si>
  <si>
    <t xml:space="preserve">Width = </t>
  </si>
  <si>
    <t>Basin Footprint</t>
  </si>
  <si>
    <t>Discharge (cfs)</t>
  </si>
  <si>
    <t>Volume (acre-ft)</t>
  </si>
  <si>
    <t>Time (50%) =</t>
  </si>
  <si>
    <t>hrs</t>
  </si>
  <si>
    <t>Time (100 %) =</t>
  </si>
  <si>
    <t>C=</t>
  </si>
  <si>
    <t>D=</t>
  </si>
  <si>
    <t>ΔH</t>
  </si>
  <si>
    <t>ΣQi</t>
  </si>
  <si>
    <r>
      <t>Q</t>
    </r>
    <r>
      <rPr>
        <vertAlign val="subscript"/>
        <sz val="11"/>
        <color indexed="8"/>
        <rFont val="Calibri"/>
        <family val="2"/>
      </rPr>
      <t>0</t>
    </r>
  </si>
  <si>
    <t xml:space="preserve">Slope = </t>
  </si>
  <si>
    <t xml:space="preserve">inches </t>
  </si>
  <si>
    <t xml:space="preserve">d = </t>
  </si>
  <si>
    <t xml:space="preserve">n = </t>
  </si>
  <si>
    <t>per row</t>
  </si>
  <si>
    <t>Aeff =</t>
  </si>
  <si>
    <t>Meets 1.5 : 1 requirement?</t>
  </si>
  <si>
    <t>inches</t>
  </si>
  <si>
    <t>:1</t>
  </si>
  <si>
    <t>or</t>
  </si>
  <si>
    <t xml:space="preserve"> </t>
  </si>
  <si>
    <t xml:space="preserve">Other, C = </t>
  </si>
  <si>
    <t xml:space="preserve">Default,  C = </t>
  </si>
  <si>
    <t xml:space="preserve">ft </t>
  </si>
  <si>
    <t>Design Volume</t>
  </si>
  <si>
    <t xml:space="preserve">s = </t>
  </si>
  <si>
    <t xml:space="preserve">z = </t>
  </si>
  <si>
    <t>W =</t>
  </si>
  <si>
    <t xml:space="preserve">Depth = </t>
  </si>
  <si>
    <t xml:space="preserve">      Depth =    </t>
  </si>
  <si>
    <t xml:space="preserve">S = </t>
  </si>
  <si>
    <t>feet</t>
  </si>
  <si>
    <t xml:space="preserve">Ds = </t>
  </si>
  <si>
    <t>in</t>
  </si>
  <si>
    <t>ft. on center</t>
  </si>
  <si>
    <t>Basin Outlet Design</t>
  </si>
  <si>
    <t>Dry Weather and Low-Flow Management</t>
  </si>
  <si>
    <t>N=</t>
  </si>
  <si>
    <r>
      <t>Q</t>
    </r>
    <r>
      <rPr>
        <vertAlign val="subscript"/>
        <sz val="11"/>
        <color indexed="8"/>
        <rFont val="Calibri"/>
        <family val="2"/>
      </rPr>
      <t>0.33</t>
    </r>
  </si>
  <si>
    <r>
      <t>Q</t>
    </r>
    <r>
      <rPr>
        <vertAlign val="subscript"/>
        <sz val="11"/>
        <color indexed="8"/>
        <rFont val="Calibri"/>
        <family val="2"/>
      </rPr>
      <t>0.67</t>
    </r>
  </si>
  <si>
    <r>
      <t>Q</t>
    </r>
    <r>
      <rPr>
        <vertAlign val="subscript"/>
        <sz val="11"/>
        <color indexed="8"/>
        <rFont val="Calibri"/>
        <family val="2"/>
      </rPr>
      <t>1.0</t>
    </r>
  </si>
  <si>
    <r>
      <t>Q</t>
    </r>
    <r>
      <rPr>
        <vertAlign val="subscript"/>
        <sz val="11"/>
        <color indexed="8"/>
        <rFont val="Calibri"/>
        <family val="2"/>
      </rPr>
      <t>1.33</t>
    </r>
  </si>
  <si>
    <r>
      <t>Q</t>
    </r>
    <r>
      <rPr>
        <vertAlign val="subscript"/>
        <sz val="11"/>
        <color indexed="8"/>
        <rFont val="Calibri"/>
        <family val="2"/>
      </rPr>
      <t>1.67</t>
    </r>
  </si>
  <si>
    <r>
      <t>Q</t>
    </r>
    <r>
      <rPr>
        <vertAlign val="subscript"/>
        <sz val="11"/>
        <color indexed="8"/>
        <rFont val="Calibri"/>
        <family val="2"/>
      </rPr>
      <t>2.0</t>
    </r>
  </si>
  <si>
    <r>
      <t>Q</t>
    </r>
    <r>
      <rPr>
        <vertAlign val="subscript"/>
        <sz val="11"/>
        <color indexed="8"/>
        <rFont val="Calibri"/>
        <family val="2"/>
      </rPr>
      <t>2.33</t>
    </r>
  </si>
  <si>
    <r>
      <t>Q</t>
    </r>
    <r>
      <rPr>
        <vertAlign val="subscript"/>
        <sz val="11"/>
        <color indexed="8"/>
        <rFont val="Calibri"/>
        <family val="2"/>
      </rPr>
      <t>2.67</t>
    </r>
  </si>
  <si>
    <r>
      <t>Q</t>
    </r>
    <r>
      <rPr>
        <vertAlign val="subscript"/>
        <sz val="11"/>
        <color indexed="8"/>
        <rFont val="Calibri"/>
        <family val="2"/>
      </rPr>
      <t>3.0</t>
    </r>
  </si>
  <si>
    <r>
      <t>Q</t>
    </r>
    <r>
      <rPr>
        <vertAlign val="subscript"/>
        <sz val="11"/>
        <color indexed="8"/>
        <rFont val="Calibri"/>
        <family val="2"/>
      </rPr>
      <t>3.33</t>
    </r>
  </si>
  <si>
    <r>
      <t>Q</t>
    </r>
    <r>
      <rPr>
        <vertAlign val="subscript"/>
        <sz val="11"/>
        <color indexed="8"/>
        <rFont val="Calibri"/>
        <family val="2"/>
      </rPr>
      <t>3.67</t>
    </r>
  </si>
  <si>
    <r>
      <t>Q</t>
    </r>
    <r>
      <rPr>
        <vertAlign val="subscript"/>
        <sz val="11"/>
        <color indexed="8"/>
        <rFont val="Calibri"/>
        <family val="2"/>
      </rPr>
      <t>4.0</t>
    </r>
  </si>
  <si>
    <r>
      <t>Q</t>
    </r>
    <r>
      <rPr>
        <vertAlign val="subscript"/>
        <sz val="11"/>
        <color indexed="8"/>
        <rFont val="Calibri"/>
        <family val="2"/>
      </rPr>
      <t>4.33</t>
    </r>
  </si>
  <si>
    <r>
      <t>Q</t>
    </r>
    <r>
      <rPr>
        <vertAlign val="subscript"/>
        <sz val="11"/>
        <color indexed="8"/>
        <rFont val="Calibri"/>
        <family val="2"/>
      </rPr>
      <t>4.67</t>
    </r>
  </si>
  <si>
    <r>
      <t>Q</t>
    </r>
    <r>
      <rPr>
        <vertAlign val="subscript"/>
        <sz val="11"/>
        <color indexed="8"/>
        <rFont val="Calibri"/>
        <family val="2"/>
      </rPr>
      <t>5.0</t>
    </r>
  </si>
  <si>
    <r>
      <t>Q</t>
    </r>
    <r>
      <rPr>
        <vertAlign val="subscript"/>
        <sz val="11"/>
        <color indexed="8"/>
        <rFont val="Calibri"/>
        <family val="2"/>
      </rPr>
      <t>5.33</t>
    </r>
  </si>
  <si>
    <r>
      <t>Q</t>
    </r>
    <r>
      <rPr>
        <vertAlign val="subscript"/>
        <sz val="11"/>
        <color indexed="8"/>
        <rFont val="Calibri"/>
        <family val="2"/>
      </rPr>
      <t>5.67</t>
    </r>
  </si>
  <si>
    <r>
      <t>Q</t>
    </r>
    <r>
      <rPr>
        <vertAlign val="subscript"/>
        <sz val="11"/>
        <color indexed="8"/>
        <rFont val="Calibri"/>
        <family val="2"/>
      </rPr>
      <t>6.0</t>
    </r>
  </si>
  <si>
    <r>
      <t>Q</t>
    </r>
    <r>
      <rPr>
        <vertAlign val="subscript"/>
        <sz val="11"/>
        <color indexed="8"/>
        <rFont val="Calibri"/>
        <family val="2"/>
      </rPr>
      <t>6.33</t>
    </r>
  </si>
  <si>
    <r>
      <t>Q</t>
    </r>
    <r>
      <rPr>
        <vertAlign val="subscript"/>
        <sz val="11"/>
        <color indexed="8"/>
        <rFont val="Calibri"/>
        <family val="2"/>
      </rPr>
      <t>6.67</t>
    </r>
  </si>
  <si>
    <r>
      <t>Q</t>
    </r>
    <r>
      <rPr>
        <vertAlign val="subscript"/>
        <sz val="11"/>
        <color indexed="8"/>
        <rFont val="Calibri"/>
        <family val="2"/>
      </rPr>
      <t>7.0</t>
    </r>
  </si>
  <si>
    <r>
      <t>Q</t>
    </r>
    <r>
      <rPr>
        <vertAlign val="subscript"/>
        <sz val="11"/>
        <color indexed="8"/>
        <rFont val="Calibri"/>
        <family val="2"/>
      </rPr>
      <t>7.33</t>
    </r>
  </si>
  <si>
    <r>
      <t>Q</t>
    </r>
    <r>
      <rPr>
        <vertAlign val="subscript"/>
        <sz val="11"/>
        <color indexed="8"/>
        <rFont val="Calibri"/>
        <family val="2"/>
      </rPr>
      <t>7.67</t>
    </r>
  </si>
  <si>
    <r>
      <t>Q</t>
    </r>
    <r>
      <rPr>
        <vertAlign val="subscript"/>
        <sz val="11"/>
        <color indexed="8"/>
        <rFont val="Calibri"/>
        <family val="2"/>
      </rPr>
      <t>8.0</t>
    </r>
  </si>
  <si>
    <r>
      <t>Q</t>
    </r>
    <r>
      <rPr>
        <vertAlign val="subscript"/>
        <sz val="11"/>
        <color indexed="8"/>
        <rFont val="Calibri"/>
        <family val="2"/>
      </rPr>
      <t>8.33</t>
    </r>
  </si>
  <si>
    <r>
      <t>Q</t>
    </r>
    <r>
      <rPr>
        <vertAlign val="subscript"/>
        <sz val="11"/>
        <color indexed="8"/>
        <rFont val="Calibri"/>
        <family val="2"/>
      </rPr>
      <t>8.67</t>
    </r>
  </si>
  <si>
    <r>
      <t>Q</t>
    </r>
    <r>
      <rPr>
        <vertAlign val="subscript"/>
        <sz val="11"/>
        <color indexed="8"/>
        <rFont val="Calibri"/>
        <family val="2"/>
      </rPr>
      <t>9.0</t>
    </r>
  </si>
  <si>
    <r>
      <t>Q</t>
    </r>
    <r>
      <rPr>
        <vertAlign val="subscript"/>
        <sz val="11"/>
        <color indexed="8"/>
        <rFont val="Calibri"/>
        <family val="2"/>
      </rPr>
      <t>9.33</t>
    </r>
  </si>
  <si>
    <r>
      <t>Q</t>
    </r>
    <r>
      <rPr>
        <vertAlign val="subscript"/>
        <sz val="11"/>
        <color indexed="8"/>
        <rFont val="Calibri"/>
        <family val="2"/>
      </rPr>
      <t>9.67</t>
    </r>
  </si>
  <si>
    <r>
      <t>Q</t>
    </r>
    <r>
      <rPr>
        <vertAlign val="subscript"/>
        <sz val="11"/>
        <color indexed="8"/>
        <rFont val="Calibri"/>
        <family val="2"/>
      </rPr>
      <t>10.0</t>
    </r>
  </si>
  <si>
    <t xml:space="preserve">N = </t>
  </si>
  <si>
    <t>rows</t>
  </si>
  <si>
    <t xml:space="preserve">Top orifice elev= </t>
  </si>
  <si>
    <t>Find t at 50% VBMP</t>
  </si>
  <si>
    <r>
      <t>50%V</t>
    </r>
    <r>
      <rPr>
        <vertAlign val="subscript"/>
        <sz val="11"/>
        <color indexed="8"/>
        <rFont val="Calibri"/>
        <family val="2"/>
      </rPr>
      <t xml:space="preserve">BMP </t>
    </r>
    <r>
      <rPr>
        <sz val="11"/>
        <color theme="1"/>
        <rFont val="Calibri"/>
        <family val="2"/>
        <scheme val="minor"/>
      </rPr>
      <t>=</t>
    </r>
  </si>
  <si>
    <t>acre-ft</t>
  </si>
  <si>
    <t>t at 50% VBMP =</t>
  </si>
  <si>
    <t>hrs.</t>
  </si>
  <si>
    <t xml:space="preserve">BMP Subarea </t>
  </si>
  <si>
    <t>No.</t>
  </si>
  <si>
    <t>acres</t>
  </si>
  <si>
    <t xml:space="preserve">    Overall Geometry</t>
  </si>
  <si>
    <t xml:space="preserve">    Bottom Stage</t>
  </si>
  <si>
    <t xml:space="preserve">   Outlet Design</t>
  </si>
  <si>
    <t xml:space="preserve">   Flow Rate, Q (cfs)</t>
  </si>
  <si>
    <t xml:space="preserve">   number of orifice rows, N (from the bottom up).</t>
  </si>
  <si>
    <t xml:space="preserve">          Discharge Coefficient,   </t>
  </si>
  <si>
    <t xml:space="preserve">        Forebay Depth (height of berm)</t>
  </si>
  <si>
    <t xml:space="preserve">        Minimum Forebay Surface Area</t>
  </si>
  <si>
    <t xml:space="preserve">        Rectangular weir (notch)</t>
  </si>
  <si>
    <t xml:space="preserve">       Tributary Area (BMP Subarea)</t>
  </si>
  <si>
    <t xml:space="preserve">        Length at Basin Bottom Surface</t>
  </si>
  <si>
    <t xml:space="preserve">        Depth of freeboard (if used)</t>
  </si>
  <si>
    <t xml:space="preserve">        Minimum Required Allowance for Total Depth (including proposed</t>
  </si>
  <si>
    <t xml:space="preserve">        Depth from design water surface elevation to lowest orifice</t>
  </si>
  <si>
    <t xml:space="preserve">        Depth (24 inches minimum)</t>
  </si>
  <si>
    <t xml:space="preserve">        Width (18 inches minimum)</t>
  </si>
  <si>
    <t xml:space="preserve">        Spacing (25 feet on center maximum)</t>
  </si>
  <si>
    <t xml:space="preserve">        Depth of ASTM-C33 sand (18 inch minimum)</t>
  </si>
  <si>
    <t xml:space="preserve">        Basin Volume</t>
  </si>
  <si>
    <t xml:space="preserve">        Proposed Basin Depth (with no freeboard)</t>
  </si>
  <si>
    <t xml:space="preserve">        Width at Basin Bottom Surface</t>
  </si>
  <si>
    <t>HW</t>
  </si>
  <si>
    <t>Volume</t>
  </si>
  <si>
    <t>Ft^3</t>
  </si>
  <si>
    <t>Row</t>
  </si>
  <si>
    <t>&lt;--verify larger or equal to VBMP</t>
  </si>
  <si>
    <t>Interpolate actual volume at specified basin depth</t>
  </si>
  <si>
    <t>Results -&gt;</t>
  </si>
  <si>
    <t xml:space="preserve">   has drained from the basin (24 hour minimum):</t>
  </si>
  <si>
    <t xml:space="preserve">     Basin Design</t>
  </si>
  <si>
    <t>Basin  Design</t>
  </si>
  <si>
    <t>Subdrain Spacing</t>
  </si>
  <si>
    <t xml:space="preserve">        Diameter of Subdrains</t>
  </si>
  <si>
    <t xml:space="preserve">   Bottom Stage (Sand Filter) Design</t>
  </si>
  <si>
    <t xml:space="preserve">        Surface Area of Bottom Stage</t>
  </si>
  <si>
    <t xml:space="preserve">        Proposed Total Basin Depth (proposed depth plus freeboard)</t>
  </si>
  <si>
    <t xml:space="preserve">        Trench Invert Longitudinal Slope</t>
  </si>
  <si>
    <t>Headwater Elev. / Stage (ft)</t>
  </si>
  <si>
    <t>t2=</t>
  </si>
  <si>
    <t>t1=</t>
  </si>
  <si>
    <t>V @t1=</t>
  </si>
  <si>
    <t>V  @t2=</t>
  </si>
  <si>
    <r>
      <t xml:space="preserve">Cum. </t>
    </r>
    <r>
      <rPr>
        <sz val="11"/>
        <rFont val="Symbol"/>
        <family val="1"/>
        <charset val="2"/>
      </rPr>
      <t>D</t>
    </r>
    <r>
      <rPr>
        <sz val="11"/>
        <rFont val="Times New Roman"/>
        <family val="1"/>
      </rPr>
      <t>t</t>
    </r>
  </si>
  <si>
    <t>Interpolate depth at VBMP</t>
  </si>
  <si>
    <t>V1=</t>
  </si>
  <si>
    <t>V2=</t>
  </si>
  <si>
    <t>D1=</t>
  </si>
  <si>
    <t>D2=</t>
  </si>
  <si>
    <t>Depth @ VBMP=</t>
  </si>
  <si>
    <t>VBMP=</t>
  </si>
  <si>
    <t xml:space="preserve">   Orifice Diameter, d;  number of orifices per row, n; and </t>
  </si>
  <si>
    <t xml:space="preserve">        Basin Invert Longitudinal Slope</t>
  </si>
  <si>
    <t xml:space="preserve">       Trench Invert Longitudinal Slope</t>
  </si>
  <si>
    <r>
      <t>V</t>
    </r>
    <r>
      <rPr>
        <vertAlign val="subscript"/>
        <sz val="11"/>
        <color indexed="8"/>
        <rFont val="Times New Roman"/>
        <family val="1"/>
      </rPr>
      <t>BMP</t>
    </r>
    <r>
      <rPr>
        <sz val="11"/>
        <color indexed="8"/>
        <rFont val="Times New Roman"/>
        <family val="1"/>
      </rPr>
      <t>=</t>
    </r>
  </si>
  <si>
    <r>
      <t>ft</t>
    </r>
    <r>
      <rPr>
        <vertAlign val="superscript"/>
        <sz val="11"/>
        <rFont val="Times New Roman"/>
        <family val="1"/>
      </rPr>
      <t>3</t>
    </r>
  </si>
  <si>
    <r>
      <t>D</t>
    </r>
    <r>
      <rPr>
        <vertAlign val="subscript"/>
        <sz val="11"/>
        <color indexed="8"/>
        <rFont val="Times New Roman"/>
        <family val="1"/>
      </rPr>
      <t>B</t>
    </r>
    <r>
      <rPr>
        <sz val="11"/>
        <color indexed="8"/>
        <rFont val="Times New Roman"/>
        <family val="1"/>
      </rPr>
      <t xml:space="preserve"> = </t>
    </r>
  </si>
  <si>
    <r>
      <t>D</t>
    </r>
    <r>
      <rPr>
        <vertAlign val="subscript"/>
        <sz val="11"/>
        <color indexed="8"/>
        <rFont val="Times New Roman"/>
        <family val="1"/>
      </rPr>
      <t>FB</t>
    </r>
    <r>
      <rPr>
        <sz val="11"/>
        <color indexed="8"/>
        <rFont val="Times New Roman"/>
        <family val="1"/>
      </rPr>
      <t xml:space="preserve"> = </t>
    </r>
  </si>
  <si>
    <r>
      <t xml:space="preserve"> D</t>
    </r>
    <r>
      <rPr>
        <vertAlign val="subscript"/>
        <sz val="11"/>
        <rFont val="Times New Roman"/>
        <family val="1"/>
      </rPr>
      <t>REQ</t>
    </r>
    <r>
      <rPr>
        <sz val="11"/>
        <rFont val="Times New Roman"/>
        <family val="1"/>
      </rPr>
      <t xml:space="preserve"> =  </t>
    </r>
  </si>
  <si>
    <r>
      <t xml:space="preserve">        basin depth, freeboard, minimum depth of bottom stage (D</t>
    </r>
    <r>
      <rPr>
        <vertAlign val="subscript"/>
        <sz val="11"/>
        <rFont val="Times New Roman"/>
        <family val="1"/>
      </rPr>
      <t>BS</t>
    </r>
    <r>
      <rPr>
        <sz val="11"/>
        <rFont val="Times New Roman"/>
        <family val="1"/>
      </rPr>
      <t>=0.33')</t>
    </r>
  </si>
  <si>
    <r>
      <t xml:space="preserve">        and minimum filter depth (D</t>
    </r>
    <r>
      <rPr>
        <vertAlign val="subscript"/>
        <sz val="11"/>
        <rFont val="Times New Roman"/>
        <family val="1"/>
      </rPr>
      <t>FD</t>
    </r>
    <r>
      <rPr>
        <sz val="11"/>
        <rFont val="Times New Roman"/>
        <family val="1"/>
      </rPr>
      <t>=2.33'))</t>
    </r>
  </si>
  <si>
    <r>
      <t>D</t>
    </r>
    <r>
      <rPr>
        <vertAlign val="subscript"/>
        <sz val="11"/>
        <color indexed="8"/>
        <rFont val="Times New Roman"/>
        <family val="1"/>
      </rPr>
      <t>O</t>
    </r>
    <r>
      <rPr>
        <sz val="11"/>
        <color indexed="8"/>
        <rFont val="Times New Roman"/>
        <family val="1"/>
      </rPr>
      <t xml:space="preserve"> = </t>
    </r>
  </si>
  <si>
    <r>
      <t>D</t>
    </r>
    <r>
      <rPr>
        <vertAlign val="subscript"/>
        <sz val="11"/>
        <rFont val="Times New Roman"/>
        <family val="1"/>
      </rPr>
      <t>TOT</t>
    </r>
    <r>
      <rPr>
        <sz val="11"/>
        <rFont val="Times New Roman"/>
        <family val="1"/>
      </rPr>
      <t xml:space="preserve"> = </t>
    </r>
  </si>
  <si>
    <t xml:space="preserve">        Basin Invert Transverse Slope (1% min)</t>
  </si>
  <si>
    <r>
      <t>V</t>
    </r>
    <r>
      <rPr>
        <vertAlign val="subscript"/>
        <sz val="11"/>
        <rFont val="Times New Roman"/>
        <family val="1"/>
      </rPr>
      <t>Basin</t>
    </r>
    <r>
      <rPr>
        <sz val="11"/>
        <rFont val="Times New Roman"/>
        <family val="1"/>
      </rPr>
      <t xml:space="preserve"> =</t>
    </r>
  </si>
  <si>
    <r>
      <t>ft</t>
    </r>
    <r>
      <rPr>
        <vertAlign val="superscript"/>
        <sz val="11"/>
        <color indexed="8"/>
        <rFont val="Times New Roman"/>
        <family val="1"/>
      </rPr>
      <t>3</t>
    </r>
  </si>
  <si>
    <r>
      <t xml:space="preserve">        Forebay Volume (3 - 5% V</t>
    </r>
    <r>
      <rPr>
        <vertAlign val="subscript"/>
        <sz val="11"/>
        <color indexed="8"/>
        <rFont val="Times New Roman"/>
        <family val="1"/>
      </rPr>
      <t>BMP</t>
    </r>
    <r>
      <rPr>
        <sz val="11"/>
        <color indexed="8"/>
        <rFont val="Times New Roman"/>
        <family val="1"/>
      </rPr>
      <t>)</t>
    </r>
  </si>
  <si>
    <r>
      <t>V</t>
    </r>
    <r>
      <rPr>
        <vertAlign val="subscript"/>
        <sz val="11"/>
        <color indexed="8"/>
        <rFont val="Times New Roman"/>
        <family val="1"/>
      </rPr>
      <t>FB</t>
    </r>
    <r>
      <rPr>
        <sz val="11"/>
        <color indexed="8"/>
        <rFont val="Times New Roman"/>
        <family val="1"/>
      </rPr>
      <t xml:space="preserve"> =</t>
    </r>
  </si>
  <si>
    <r>
      <t>D</t>
    </r>
    <r>
      <rPr>
        <vertAlign val="subscript"/>
        <sz val="11"/>
        <color indexed="8"/>
        <rFont val="Times New Roman"/>
        <family val="1"/>
      </rPr>
      <t>FBY</t>
    </r>
    <r>
      <rPr>
        <sz val="11"/>
        <color indexed="8"/>
        <rFont val="Times New Roman"/>
        <family val="1"/>
      </rPr>
      <t xml:space="preserve"> =</t>
    </r>
  </si>
  <si>
    <r>
      <t>A</t>
    </r>
    <r>
      <rPr>
        <vertAlign val="subscript"/>
        <sz val="11"/>
        <color indexed="8"/>
        <rFont val="Times New Roman"/>
        <family val="1"/>
      </rPr>
      <t>FB</t>
    </r>
    <r>
      <rPr>
        <sz val="11"/>
        <color indexed="8"/>
        <rFont val="Times New Roman"/>
        <family val="1"/>
      </rPr>
      <t xml:space="preserve"> = </t>
    </r>
  </si>
  <si>
    <r>
      <t>ft</t>
    </r>
    <r>
      <rPr>
        <vertAlign val="superscript"/>
        <sz val="11"/>
        <color indexed="8"/>
        <rFont val="Times New Roman"/>
        <family val="1"/>
      </rPr>
      <t>2</t>
    </r>
  </si>
  <si>
    <r>
      <t xml:space="preserve">   Low-Flow Trench</t>
    </r>
    <r>
      <rPr>
        <sz val="11"/>
        <rFont val="Times New Roman"/>
        <family val="1"/>
      </rPr>
      <t xml:space="preserve"> (see graphic below)</t>
    </r>
  </si>
  <si>
    <t xml:space="preserve">        Depth (24 inches minimum, gravel filled)</t>
  </si>
  <si>
    <t xml:space="preserve">        Width (48 inches minimum)</t>
  </si>
  <si>
    <r>
      <t xml:space="preserve">    Collector Trenches</t>
    </r>
    <r>
      <rPr>
        <sz val="11"/>
        <rFont val="Times New Roman"/>
        <family val="1"/>
      </rPr>
      <t xml:space="preserve">  (see graphic below)</t>
    </r>
  </si>
  <si>
    <t xml:space="preserve">        Depth of the Bottom Stage (4" minimum ponding)</t>
  </si>
  <si>
    <r>
      <t>D</t>
    </r>
    <r>
      <rPr>
        <vertAlign val="subscript"/>
        <sz val="11"/>
        <rFont val="Times New Roman"/>
        <family val="1"/>
      </rPr>
      <t>BS</t>
    </r>
    <r>
      <rPr>
        <sz val="11"/>
        <rFont val="Times New Roman"/>
        <family val="1"/>
      </rPr>
      <t xml:space="preserve"> = </t>
    </r>
  </si>
  <si>
    <r>
      <t xml:space="preserve">         </t>
    </r>
    <r>
      <rPr>
        <sz val="11"/>
        <rFont val="Times New Roman"/>
        <family val="1"/>
      </rPr>
      <t xml:space="preserve">      A</t>
    </r>
    <r>
      <rPr>
        <vertAlign val="subscript"/>
        <sz val="11"/>
        <rFont val="Times New Roman"/>
        <family val="1"/>
      </rPr>
      <t>BS</t>
    </r>
    <r>
      <rPr>
        <sz val="11"/>
        <rFont val="Times New Roman"/>
        <family val="1"/>
      </rPr>
      <t xml:space="preserve"> =  </t>
    </r>
    <r>
      <rPr>
        <vertAlign val="subscript"/>
        <sz val="11"/>
        <rFont val="Times New Roman"/>
        <family val="1"/>
      </rPr>
      <t xml:space="preserve">    </t>
    </r>
  </si>
  <si>
    <t xml:space="preserve">        Dry Weather Ponded Volume (above sand layer)</t>
  </si>
  <si>
    <r>
      <t>V</t>
    </r>
    <r>
      <rPr>
        <vertAlign val="subscript"/>
        <sz val="11"/>
        <rFont val="Times New Roman"/>
        <family val="1"/>
      </rPr>
      <t>BS</t>
    </r>
    <r>
      <rPr>
        <sz val="11"/>
        <rFont val="Times New Roman"/>
        <family val="1"/>
      </rPr>
      <t xml:space="preserve"> =</t>
    </r>
  </si>
  <si>
    <r>
      <t>Is V</t>
    </r>
    <r>
      <rPr>
        <vertAlign val="subscript"/>
        <sz val="11"/>
        <rFont val="Times New Roman"/>
        <family val="1"/>
      </rPr>
      <t>BS</t>
    </r>
    <r>
      <rPr>
        <sz val="11"/>
        <rFont val="Times New Roman"/>
        <family val="1"/>
      </rPr>
      <t xml:space="preserve"> no less than 0.5% V</t>
    </r>
    <r>
      <rPr>
        <vertAlign val="subscript"/>
        <sz val="11"/>
        <rFont val="Times New Roman"/>
        <family val="1"/>
      </rPr>
      <t>BMP</t>
    </r>
    <r>
      <rPr>
        <sz val="11"/>
        <rFont val="Times New Roman"/>
        <family val="1"/>
      </rPr>
      <t>?</t>
    </r>
  </si>
  <si>
    <r>
      <rPr>
        <sz val="11"/>
        <color indexed="8"/>
        <rFont val="Symbol"/>
        <family val="1"/>
        <charset val="2"/>
      </rPr>
      <t>f</t>
    </r>
    <r>
      <rPr>
        <sz val="11"/>
        <color indexed="8"/>
        <rFont val="Times New Roman"/>
        <family val="1"/>
      </rPr>
      <t xml:space="preserve"> = </t>
    </r>
  </si>
  <si>
    <r>
      <rPr>
        <sz val="11"/>
        <color indexed="8"/>
        <rFont val="Symbol"/>
        <family val="1"/>
        <charset val="2"/>
      </rPr>
      <t>D</t>
    </r>
    <r>
      <rPr>
        <sz val="11"/>
        <color indexed="8"/>
        <rFont val="Times New Roman"/>
        <family val="1"/>
      </rPr>
      <t>t (hrs.)</t>
    </r>
  </si>
  <si>
    <r>
      <t>Q=CA[2g(H-H</t>
    </r>
    <r>
      <rPr>
        <vertAlign val="subscript"/>
        <sz val="11"/>
        <color indexed="8"/>
        <rFont val="Times New Roman"/>
        <family val="1"/>
      </rPr>
      <t>o</t>
    </r>
    <r>
      <rPr>
        <sz val="11"/>
        <color indexed="8"/>
        <rFont val="Times New Roman"/>
        <family val="1"/>
      </rPr>
      <t>)]</t>
    </r>
    <r>
      <rPr>
        <vertAlign val="superscript"/>
        <sz val="11"/>
        <color indexed="8"/>
        <rFont val="Times New Roman"/>
        <family val="1"/>
      </rPr>
      <t>0.5</t>
    </r>
  </si>
  <si>
    <r>
      <t xml:space="preserve">   Orifice Area (ft</t>
    </r>
    <r>
      <rPr>
        <b/>
        <vertAlign val="superscript"/>
        <sz val="11"/>
        <color indexed="8"/>
        <rFont val="Times New Roman"/>
        <family val="1"/>
      </rPr>
      <t>2</t>
    </r>
    <r>
      <rPr>
        <b/>
        <sz val="11"/>
        <color indexed="8"/>
        <rFont val="Times New Roman"/>
        <family val="1"/>
      </rPr>
      <t>)</t>
    </r>
  </si>
  <si>
    <r>
      <rPr>
        <sz val="11"/>
        <color indexed="8"/>
        <rFont val="Times New Roman"/>
        <family val="1"/>
      </rPr>
      <t>ft</t>
    </r>
    <r>
      <rPr>
        <vertAlign val="superscript"/>
        <sz val="11"/>
        <color indexed="8"/>
        <rFont val="Times New Roman"/>
        <family val="1"/>
      </rPr>
      <t>2</t>
    </r>
    <r>
      <rPr>
        <sz val="11"/>
        <color indexed="8"/>
        <rFont val="Times New Roman"/>
        <family val="1"/>
      </rPr>
      <t xml:space="preserve"> per row</t>
    </r>
  </si>
  <si>
    <r>
      <t>in</t>
    </r>
    <r>
      <rPr>
        <vertAlign val="superscript"/>
        <sz val="11"/>
        <color indexed="8"/>
        <rFont val="Times New Roman"/>
        <family val="1"/>
      </rPr>
      <t>2</t>
    </r>
    <r>
      <rPr>
        <vertAlign val="subscript"/>
        <sz val="11"/>
        <color indexed="8"/>
        <rFont val="Times New Roman"/>
        <family val="1"/>
      </rPr>
      <t xml:space="preserve"> </t>
    </r>
    <r>
      <rPr>
        <sz val="11"/>
        <color indexed="8"/>
        <rFont val="Times New Roman"/>
        <family val="1"/>
      </rPr>
      <t>per row</t>
    </r>
  </si>
  <si>
    <r>
      <t xml:space="preserve">   From outflow hydrograph, the time where 50% of V</t>
    </r>
    <r>
      <rPr>
        <vertAlign val="subscript"/>
        <sz val="11"/>
        <color indexed="8"/>
        <rFont val="Times New Roman"/>
        <family val="1"/>
      </rPr>
      <t>BMP</t>
    </r>
  </si>
  <si>
    <r>
      <t xml:space="preserve">   From outflow hydrograph, the time where 100% V</t>
    </r>
    <r>
      <rPr>
        <vertAlign val="subscript"/>
        <sz val="11"/>
        <color indexed="8"/>
        <rFont val="Times New Roman"/>
        <family val="1"/>
      </rPr>
      <t>BMP</t>
    </r>
  </si>
  <si>
    <r>
      <rPr>
        <sz val="11"/>
        <color indexed="8"/>
        <rFont val="Calibri"/>
        <family val="2"/>
      </rPr>
      <t>∑</t>
    </r>
    <r>
      <rPr>
        <sz val="11"/>
        <color indexed="8"/>
        <rFont val="Times New Roman"/>
        <family val="1"/>
      </rPr>
      <t xml:space="preserve"> =</t>
    </r>
  </si>
  <si>
    <r>
      <t>Assume an orifice area. Based on the information provided above, the spreadsheet provides discharge vs. stage data. Enter the volume vs. stage data for each interval. This information is used to route the volume through the basin. The size of the orifice is acceptable when the data shows that less than 50% of  V</t>
    </r>
    <r>
      <rPr>
        <vertAlign val="subscript"/>
        <sz val="11"/>
        <rFont val="Tempus Sans ITC"/>
        <family val="5"/>
      </rPr>
      <t>BMP</t>
    </r>
    <r>
      <rPr>
        <sz val="11"/>
        <rFont val="Times New Roman"/>
        <family val="1"/>
      </rPr>
      <t xml:space="preserve"> has drained in 24 hours, and that 100% drawdown occurs within 48 hours.</t>
    </r>
  </si>
  <si>
    <t xml:space="preserve">   has drained from the basin(within 48 hours):</t>
  </si>
  <si>
    <r>
      <t>A</t>
    </r>
    <r>
      <rPr>
        <vertAlign val="subscript"/>
        <sz val="11"/>
        <color theme="1"/>
        <rFont val="Times New Roman"/>
        <family val="1"/>
      </rPr>
      <t>TRIB</t>
    </r>
    <r>
      <rPr>
        <sz val="11"/>
        <color indexed="8"/>
        <rFont val="Times New Roman"/>
        <family val="1"/>
      </rPr>
      <t xml:space="preserve"> = </t>
    </r>
  </si>
  <si>
    <r>
      <t xml:space="preserve">       Enter V</t>
    </r>
    <r>
      <rPr>
        <vertAlign val="subscript"/>
        <sz val="11"/>
        <rFont val="Times New Roman"/>
        <family val="1"/>
      </rPr>
      <t xml:space="preserve">BMP, </t>
    </r>
    <r>
      <rPr>
        <sz val="11"/>
        <rFont val="Times New Roman"/>
        <family val="1"/>
      </rPr>
      <t>determined from Section 4.3 of this Handbook</t>
    </r>
  </si>
  <si>
    <r>
      <t xml:space="preserve">Extended Detention Basin Design Procedure                            </t>
    </r>
    <r>
      <rPr>
        <sz val="9"/>
        <rFont val="Times New Roman"/>
        <family val="1"/>
      </rPr>
      <t>(Revised 06-2014)</t>
    </r>
  </si>
  <si>
    <t xml:space="preserve">        Side Slopes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</si>
</sst>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
    <numFmt numFmtId="166" formatCode="0.00000"/>
    <numFmt numFmtId="167" formatCode="0.0000"/>
  </numFmts>
  <fonts count="37" x14ac:knownFonts="1">
    <font>
      <sz val="11"/>
      <color theme="1"/>
      <name val="Calibri"/>
      <family val="2"/>
      <scheme val="minor"/>
    </font>
    <font>
      <sz val="12"/>
      <name val="Times New Roman"/>
      <family val="1"/>
    </font>
    <font>
      <sz val="12"/>
      <color indexed="8"/>
      <name val="Times New Roman"/>
      <family val="1"/>
    </font>
    <font>
      <sz val="12"/>
      <color indexed="8"/>
      <name val="Calibri"/>
      <family val="2"/>
    </font>
    <font>
      <sz val="10"/>
      <name val="Arial"/>
      <family val="2"/>
    </font>
    <font>
      <vertAlign val="subscript"/>
      <sz val="11"/>
      <color indexed="8"/>
      <name val="Calibri"/>
      <family val="2"/>
    </font>
    <font>
      <b/>
      <sz val="11"/>
      <color indexed="8"/>
      <name val="Calibri"/>
      <family val="2"/>
    </font>
    <font>
      <sz val="11"/>
      <color indexed="8"/>
      <name val="Times New Roman"/>
      <family val="1"/>
    </font>
    <font>
      <b/>
      <sz val="11"/>
      <color indexed="8"/>
      <name val="Times New Roman"/>
      <family val="1"/>
    </font>
    <font>
      <sz val="11"/>
      <color indexed="8"/>
      <name val="Calibri"/>
      <family val="2"/>
    </font>
    <font>
      <sz val="11"/>
      <color indexed="10"/>
      <name val="Times New Roman"/>
      <family val="1"/>
    </font>
    <font>
      <u/>
      <sz val="12"/>
      <name val="Times New Roman"/>
      <family val="1"/>
    </font>
    <font>
      <sz val="8"/>
      <name val="Calibri"/>
      <family val="2"/>
    </font>
    <font>
      <sz val="11"/>
      <color rgb="FFFF0000"/>
      <name val="Calibri"/>
      <family val="2"/>
      <scheme val="minor"/>
    </font>
    <font>
      <sz val="11"/>
      <color theme="1"/>
      <name val="Times New Roman"/>
      <family val="1"/>
    </font>
    <font>
      <sz val="11"/>
      <color rgb="FFFF0000"/>
      <name val="Times New Roman"/>
      <family val="1"/>
    </font>
    <font>
      <sz val="12"/>
      <color theme="1"/>
      <name val="Times New Roman"/>
      <family val="1"/>
    </font>
    <font>
      <u/>
      <sz val="11"/>
      <color theme="1"/>
      <name val="Calibri"/>
      <family val="2"/>
      <scheme val="minor"/>
    </font>
    <font>
      <b/>
      <sz val="11"/>
      <color rgb="FFFA7D00"/>
      <name val="Calibri"/>
      <family val="2"/>
      <scheme val="minor"/>
    </font>
    <font>
      <b/>
      <sz val="11"/>
      <color theme="0"/>
      <name val="Calibri"/>
      <family val="2"/>
      <scheme val="minor"/>
    </font>
    <font>
      <b/>
      <sz val="9"/>
      <color theme="0"/>
      <name val="Calibri"/>
      <family val="2"/>
      <scheme val="minor"/>
    </font>
    <font>
      <sz val="11"/>
      <name val="Times New Roman"/>
      <family val="1"/>
    </font>
    <font>
      <sz val="11"/>
      <name val="Calibri"/>
      <family val="2"/>
      <scheme val="minor"/>
    </font>
    <font>
      <sz val="11"/>
      <name val="Symbol"/>
      <family val="1"/>
      <charset val="2"/>
    </font>
    <font>
      <vertAlign val="subscript"/>
      <sz val="11"/>
      <color theme="1"/>
      <name val="Times New Roman"/>
      <family val="1"/>
    </font>
    <font>
      <vertAlign val="subscript"/>
      <sz val="11"/>
      <color indexed="8"/>
      <name val="Times New Roman"/>
      <family val="1"/>
    </font>
    <font>
      <vertAlign val="subscript"/>
      <sz val="11"/>
      <name val="Times New Roman"/>
      <family val="1"/>
    </font>
    <font>
      <vertAlign val="superscript"/>
      <sz val="11"/>
      <name val="Times New Roman"/>
      <family val="1"/>
    </font>
    <font>
      <b/>
      <sz val="11"/>
      <name val="Times New Roman"/>
      <family val="1"/>
    </font>
    <font>
      <vertAlign val="superscript"/>
      <sz val="11"/>
      <color indexed="8"/>
      <name val="Times New Roman"/>
      <family val="1"/>
    </font>
    <font>
      <sz val="11"/>
      <color indexed="8"/>
      <name val="Symbol"/>
      <family val="1"/>
      <charset val="2"/>
    </font>
    <font>
      <b/>
      <sz val="11"/>
      <color theme="1"/>
      <name val="Times New Roman"/>
      <family val="1"/>
    </font>
    <font>
      <vertAlign val="subscript"/>
      <sz val="11"/>
      <name val="Tempus Sans ITC"/>
      <family val="5"/>
    </font>
    <font>
      <b/>
      <sz val="11"/>
      <color rgb="FF0070C0"/>
      <name val="Times New Roman"/>
      <family val="1"/>
    </font>
    <font>
      <b/>
      <vertAlign val="superscript"/>
      <sz val="11"/>
      <color indexed="8"/>
      <name val="Times New Roman"/>
      <family val="1"/>
    </font>
    <font>
      <u/>
      <sz val="11"/>
      <name val="Times New Roman"/>
      <family val="1"/>
    </font>
    <font>
      <sz val="9"/>
      <name val="Times New Roman"/>
      <family val="1"/>
    </font>
  </fonts>
  <fills count="17">
    <fill>
      <patternFill patternType="none"/>
    </fill>
    <fill>
      <patternFill patternType="gray125"/>
    </fill>
    <fill>
      <patternFill patternType="solid">
        <fgColor indexed="55"/>
        <bgColor indexed="64"/>
      </patternFill>
    </fill>
    <fill>
      <patternFill patternType="solid">
        <fgColor indexed="27"/>
        <bgColor indexed="64"/>
      </patternFill>
    </fill>
    <fill>
      <patternFill patternType="solid">
        <fgColor indexed="22"/>
        <bgColor indexed="27"/>
      </patternFill>
    </fill>
    <fill>
      <patternFill patternType="solid">
        <fgColor indexed="26"/>
        <bgColor indexed="64"/>
      </patternFill>
    </fill>
    <fill>
      <patternFill patternType="solid">
        <fgColor indexed="27"/>
        <bgColor indexed="27"/>
      </patternFill>
    </fill>
    <fill>
      <patternFill patternType="solid">
        <fgColor theme="0" tint="-0.24994659260841701"/>
        <bgColor indexed="64"/>
      </patternFill>
    </fill>
    <fill>
      <patternFill patternType="solid">
        <fgColor rgb="FFCCFFFF"/>
        <bgColor indexed="64"/>
      </patternFill>
    </fill>
    <fill>
      <patternFill patternType="solid">
        <fgColor rgb="FFFFFF00"/>
        <bgColor indexed="64"/>
      </patternFill>
    </fill>
    <fill>
      <patternFill patternType="solid">
        <fgColor theme="2"/>
        <bgColor indexed="64"/>
      </patternFill>
    </fill>
    <fill>
      <patternFill patternType="solid">
        <fgColor rgb="FFCCFFFF"/>
        <bgColor indexed="27"/>
      </patternFill>
    </fill>
    <fill>
      <patternFill patternType="solid">
        <fgColor rgb="FFF2F2F2"/>
      </patternFill>
    </fill>
    <fill>
      <patternFill patternType="solid">
        <fgColor theme="0" tint="-0.249977111117893"/>
        <bgColor indexed="64"/>
      </patternFill>
    </fill>
    <fill>
      <patternFill patternType="solid">
        <fgColor theme="3" tint="0.59999389629810485"/>
        <bgColor indexed="64"/>
      </patternFill>
    </fill>
    <fill>
      <patternFill patternType="solid">
        <fgColor rgb="FFA5A5A5"/>
      </patternFill>
    </fill>
    <fill>
      <patternFill patternType="solid">
        <fgColor theme="1" tint="0.34998626667073579"/>
        <bgColor indexed="64"/>
      </patternFill>
    </fill>
  </fills>
  <borders count="32">
    <border>
      <left/>
      <right/>
      <top/>
      <bottom/>
      <diagonal/>
    </border>
    <border>
      <left style="medium">
        <color indexed="64"/>
      </left>
      <right/>
      <top/>
      <bottom/>
      <diagonal/>
    </border>
    <border>
      <left/>
      <right/>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s>
  <cellStyleXfs count="6">
    <xf numFmtId="0" fontId="0" fillId="0" borderId="0"/>
    <xf numFmtId="0" fontId="4" fillId="0" borderId="0"/>
    <xf numFmtId="0" fontId="4" fillId="0" borderId="0"/>
    <xf numFmtId="0" fontId="4" fillId="0" borderId="0"/>
    <xf numFmtId="0" fontId="18" fillId="12" borderId="20" applyNumberFormat="0" applyAlignment="0" applyProtection="0"/>
    <xf numFmtId="0" fontId="19" fillId="15" borderId="21" applyNumberFormat="0" applyAlignment="0" applyProtection="0"/>
  </cellStyleXfs>
  <cellXfs count="380">
    <xf numFmtId="0" fontId="0" fillId="0" borderId="0" xfId="0"/>
    <xf numFmtId="0" fontId="1" fillId="0" borderId="0" xfId="0" applyFont="1" applyBorder="1"/>
    <xf numFmtId="0" fontId="1" fillId="0" borderId="0" xfId="0" applyFont="1" applyBorder="1" applyAlignment="1">
      <alignment horizontal="right"/>
    </xf>
    <xf numFmtId="0" fontId="0" fillId="0" borderId="0" xfId="0" applyBorder="1"/>
    <xf numFmtId="0" fontId="3" fillId="0" borderId="0" xfId="0" applyFont="1" applyFill="1" applyBorder="1"/>
    <xf numFmtId="3" fontId="1" fillId="0" borderId="0" xfId="0" applyNumberFormat="1" applyFont="1" applyFill="1" applyBorder="1" applyAlignment="1">
      <alignment horizontal="center" wrapText="1"/>
    </xf>
    <xf numFmtId="0" fontId="1" fillId="0" borderId="0" xfId="0" applyFont="1" applyFill="1" applyBorder="1" applyAlignment="1">
      <alignment horizontal="center"/>
    </xf>
    <xf numFmtId="0" fontId="0" fillId="0" borderId="0" xfId="0" applyFill="1" applyBorder="1"/>
    <xf numFmtId="0" fontId="0" fillId="0" borderId="0" xfId="0" applyFill="1"/>
    <xf numFmtId="0" fontId="2" fillId="0" borderId="0" xfId="0" applyFont="1" applyBorder="1"/>
    <xf numFmtId="0" fontId="7" fillId="0" borderId="0" xfId="0" applyFont="1" applyFill="1" applyBorder="1" applyAlignment="1">
      <alignment horizontal="center"/>
    </xf>
    <xf numFmtId="0" fontId="1" fillId="0" borderId="0" xfId="0" applyFont="1" applyFill="1" applyBorder="1" applyAlignment="1">
      <alignment horizontal="center" wrapText="1"/>
    </xf>
    <xf numFmtId="0" fontId="0" fillId="0" borderId="0" xfId="0" applyFill="1" applyBorder="1" applyAlignment="1">
      <alignment horizontal="center"/>
    </xf>
    <xf numFmtId="0" fontId="0" fillId="0" borderId="0" xfId="0" applyFill="1" applyBorder="1" applyAlignment="1">
      <alignment horizontal="right"/>
    </xf>
    <xf numFmtId="2" fontId="0" fillId="0" borderId="0" xfId="0" applyNumberFormat="1" applyFill="1" applyBorder="1" applyAlignment="1">
      <alignment horizontal="center"/>
    </xf>
    <xf numFmtId="165" fontId="0" fillId="0" borderId="0" xfId="0" applyNumberFormat="1" applyFill="1" applyBorder="1"/>
    <xf numFmtId="165" fontId="0" fillId="0" borderId="0" xfId="0" applyNumberFormat="1" applyFill="1" applyBorder="1" applyAlignment="1">
      <alignment horizontal="center"/>
    </xf>
    <xf numFmtId="0" fontId="0" fillId="0" borderId="0" xfId="0" applyFill="1" applyBorder="1" applyAlignment="1">
      <alignment wrapText="1"/>
    </xf>
    <xf numFmtId="0" fontId="6" fillId="0" borderId="0" xfId="0" applyFont="1" applyFill="1" applyBorder="1"/>
    <xf numFmtId="0" fontId="7" fillId="0" borderId="0" xfId="0" applyFont="1" applyFill="1" applyBorder="1" applyAlignment="1">
      <alignment horizontal="left"/>
    </xf>
    <xf numFmtId="0" fontId="7" fillId="0" borderId="0" xfId="0" applyFont="1" applyFill="1" applyBorder="1" applyAlignment="1">
      <alignment horizontal="right"/>
    </xf>
    <xf numFmtId="0" fontId="8" fillId="0" borderId="0" xfId="0" applyFont="1" applyFill="1" applyBorder="1" applyAlignment="1">
      <alignment horizontal="left"/>
    </xf>
    <xf numFmtId="0" fontId="8" fillId="0" borderId="0" xfId="0" applyFont="1" applyFill="1" applyBorder="1"/>
    <xf numFmtId="2" fontId="0" fillId="0" borderId="0" xfId="0" applyNumberFormat="1" applyFill="1" applyBorder="1" applyAlignment="1">
      <alignment horizontal="right"/>
    </xf>
    <xf numFmtId="165" fontId="0" fillId="0" borderId="0" xfId="0" applyNumberFormat="1" applyFill="1" applyBorder="1" applyAlignment="1">
      <alignment horizontal="right"/>
    </xf>
    <xf numFmtId="0" fontId="0" fillId="0" borderId="0" xfId="0" applyFill="1" applyBorder="1" applyAlignment="1">
      <alignment horizontal="left" wrapText="1"/>
    </xf>
    <xf numFmtId="0" fontId="7" fillId="0" borderId="0" xfId="0" applyFont="1" applyFill="1" applyBorder="1" applyAlignment="1">
      <alignment horizontal="left" wrapText="1"/>
    </xf>
    <xf numFmtId="0" fontId="1" fillId="0" borderId="0" xfId="0" applyFont="1" applyFill="1" applyBorder="1"/>
    <xf numFmtId="0" fontId="0" fillId="0" borderId="0" xfId="0" applyAlignment="1">
      <alignment horizontal="right"/>
    </xf>
    <xf numFmtId="165" fontId="0" fillId="0" borderId="0" xfId="0" applyNumberFormat="1" applyBorder="1" applyAlignment="1">
      <alignment horizontal="center"/>
    </xf>
    <xf numFmtId="0" fontId="1" fillId="0" borderId="0" xfId="0" applyFont="1" applyBorder="1" applyAlignment="1">
      <alignment horizontal="left" wrapText="1"/>
    </xf>
    <xf numFmtId="2" fontId="0" fillId="0" borderId="0" xfId="0" applyNumberFormat="1"/>
    <xf numFmtId="0" fontId="3" fillId="0" borderId="0" xfId="0" applyFont="1" applyFill="1" applyBorder="1" applyAlignment="1">
      <alignment horizontal="center"/>
    </xf>
    <xf numFmtId="165" fontId="0" fillId="0" borderId="0" xfId="0" applyNumberFormat="1"/>
    <xf numFmtId="0" fontId="14" fillId="0" borderId="0" xfId="0" applyFont="1" applyFill="1" applyBorder="1"/>
    <xf numFmtId="0" fontId="14" fillId="0" borderId="0" xfId="0" applyFont="1" applyBorder="1" applyAlignment="1"/>
    <xf numFmtId="0" fontId="14" fillId="0" borderId="0" xfId="0" applyFont="1" applyBorder="1" applyAlignment="1">
      <alignment horizontal="left"/>
    </xf>
    <xf numFmtId="0" fontId="10" fillId="0" borderId="0" xfId="0" applyFont="1" applyBorder="1"/>
    <xf numFmtId="0" fontId="0" fillId="0" borderId="0" xfId="0"/>
    <xf numFmtId="0" fontId="0" fillId="0" borderId="0" xfId="0"/>
    <xf numFmtId="0" fontId="0" fillId="0" borderId="0" xfId="0" applyBorder="1" applyAlignment="1">
      <alignment horizontal="right"/>
    </xf>
    <xf numFmtId="1" fontId="0" fillId="0" borderId="0" xfId="0" applyNumberFormat="1"/>
    <xf numFmtId="2" fontId="0" fillId="0" borderId="0" xfId="0" applyNumberFormat="1" applyFill="1" applyBorder="1"/>
    <xf numFmtId="2" fontId="13" fillId="0" borderId="0" xfId="0" applyNumberFormat="1" applyFont="1" applyFill="1" applyBorder="1"/>
    <xf numFmtId="166" fontId="0" fillId="0" borderId="0" xfId="0" applyNumberFormat="1"/>
    <xf numFmtId="166" fontId="7" fillId="2" borderId="0" xfId="0" applyNumberFormat="1" applyFont="1" applyFill="1" applyBorder="1" applyAlignment="1">
      <alignment horizontal="center"/>
    </xf>
    <xf numFmtId="166" fontId="0" fillId="2" borderId="3" xfId="0" applyNumberFormat="1" applyFill="1" applyBorder="1" applyAlignment="1">
      <alignment horizontal="center"/>
    </xf>
    <xf numFmtId="166" fontId="0" fillId="2" borderId="0" xfId="0" applyNumberFormat="1" applyFill="1"/>
    <xf numFmtId="166" fontId="9" fillId="0" borderId="0" xfId="0" applyNumberFormat="1" applyFont="1"/>
    <xf numFmtId="165" fontId="9" fillId="0" borderId="0" xfId="0" applyNumberFormat="1" applyFont="1"/>
    <xf numFmtId="165" fontId="6" fillId="0" borderId="0" xfId="0" applyNumberFormat="1" applyFont="1"/>
    <xf numFmtId="167" fontId="0" fillId="0" borderId="0" xfId="0" applyNumberFormat="1"/>
    <xf numFmtId="0" fontId="1" fillId="0" borderId="0" xfId="0" applyFont="1" applyFill="1" applyBorder="1" applyAlignment="1">
      <alignment horizontal="center" vertical="center"/>
    </xf>
    <xf numFmtId="0" fontId="14" fillId="0" borderId="0" xfId="0" applyFont="1" applyFill="1" applyBorder="1" applyAlignment="1"/>
    <xf numFmtId="0" fontId="0" fillId="0" borderId="0" xfId="0"/>
    <xf numFmtId="0" fontId="0" fillId="0" borderId="0" xfId="0" applyFill="1" applyBorder="1"/>
    <xf numFmtId="0" fontId="0" fillId="0" borderId="0" xfId="0" applyBorder="1"/>
    <xf numFmtId="0" fontId="15" fillId="0" borderId="0" xfId="0" applyFont="1" applyBorder="1" applyAlignment="1">
      <alignment horizontal="left" vertical="center" wrapText="1"/>
    </xf>
    <xf numFmtId="0" fontId="10" fillId="0" borderId="0" xfId="0" applyFont="1" applyBorder="1" applyAlignment="1">
      <alignment horizontal="left" wrapText="1"/>
    </xf>
    <xf numFmtId="0" fontId="14" fillId="0" borderId="0" xfId="0" applyFont="1" applyBorder="1"/>
    <xf numFmtId="2" fontId="0" fillId="7" borderId="0" xfId="0" applyNumberFormat="1" applyFill="1"/>
    <xf numFmtId="0" fontId="0" fillId="7" borderId="0" xfId="0" applyFill="1"/>
    <xf numFmtId="0" fontId="14" fillId="0" borderId="0" xfId="0" applyFont="1" applyBorder="1" applyAlignment="1">
      <alignment vertical="center"/>
    </xf>
    <xf numFmtId="0" fontId="14" fillId="0" borderId="0" xfId="0" applyFont="1" applyBorder="1" applyAlignment="1">
      <alignment vertical="center" wrapText="1"/>
    </xf>
    <xf numFmtId="0" fontId="2" fillId="0" borderId="0" xfId="0" applyFont="1" applyBorder="1" applyAlignment="1">
      <alignment vertical="center"/>
    </xf>
    <xf numFmtId="2" fontId="14" fillId="0" borderId="0" xfId="0" applyNumberFormat="1" applyFont="1" applyFill="1" applyBorder="1" applyAlignment="1">
      <alignment horizontal="center"/>
    </xf>
    <xf numFmtId="2" fontId="2" fillId="0" borderId="0" xfId="0" applyNumberFormat="1" applyFont="1" applyBorder="1" applyAlignment="1">
      <alignment horizontal="center"/>
    </xf>
    <xf numFmtId="0" fontId="11" fillId="0" borderId="0" xfId="0" applyFont="1" applyFill="1" applyBorder="1" applyAlignment="1">
      <alignment horizontal="center"/>
    </xf>
    <xf numFmtId="0" fontId="1" fillId="0" borderId="0" xfId="0" applyFont="1" applyBorder="1" applyAlignment="1">
      <alignment horizontal="center"/>
    </xf>
    <xf numFmtId="0" fontId="0" fillId="10" borderId="0" xfId="0" applyFill="1"/>
    <xf numFmtId="0" fontId="0" fillId="10" borderId="0" xfId="0" applyFill="1" applyBorder="1"/>
    <xf numFmtId="0" fontId="7" fillId="10" borderId="0" xfId="0" applyFont="1" applyFill="1" applyBorder="1" applyAlignment="1">
      <alignment horizontal="left"/>
    </xf>
    <xf numFmtId="0" fontId="0" fillId="10" borderId="5" xfId="0" applyFill="1" applyBorder="1"/>
    <xf numFmtId="0" fontId="0" fillId="10" borderId="0" xfId="0" applyFill="1" applyAlignment="1">
      <alignment vertical="top" wrapText="1"/>
    </xf>
    <xf numFmtId="165" fontId="0" fillId="10" borderId="0" xfId="0" applyNumberFormat="1" applyFill="1" applyBorder="1" applyAlignment="1">
      <alignment horizontal="center"/>
    </xf>
    <xf numFmtId="0" fontId="0" fillId="10" borderId="0" xfId="0" applyFill="1" applyAlignment="1">
      <alignment horizontal="center" vertical="top" wrapText="1"/>
    </xf>
    <xf numFmtId="0" fontId="0" fillId="10" borderId="0" xfId="0" applyFill="1" applyAlignment="1">
      <alignment horizontal="right"/>
    </xf>
    <xf numFmtId="2" fontId="0" fillId="10" borderId="0" xfId="0" applyNumberFormat="1" applyFill="1" applyBorder="1" applyAlignment="1">
      <alignment horizontal="center"/>
    </xf>
    <xf numFmtId="165" fontId="0" fillId="7" borderId="0" xfId="0" applyNumberFormat="1" applyFill="1" applyAlignment="1">
      <alignment horizontal="center"/>
    </xf>
    <xf numFmtId="0" fontId="17" fillId="10" borderId="0" xfId="0" applyFont="1" applyFill="1" applyAlignment="1">
      <alignment horizontal="center"/>
    </xf>
    <xf numFmtId="0" fontId="14" fillId="0" borderId="8" xfId="0" applyFont="1" applyFill="1" applyBorder="1" applyAlignment="1">
      <alignment horizontal="left" vertical="top" wrapText="1"/>
    </xf>
    <xf numFmtId="0" fontId="14" fillId="8" borderId="9" xfId="0" applyFont="1" applyFill="1" applyBorder="1" applyAlignment="1" applyProtection="1">
      <alignment horizontal="left" vertical="top" wrapText="1"/>
      <protection locked="0" hidden="1"/>
    </xf>
    <xf numFmtId="165" fontId="16" fillId="8" borderId="5" xfId="0" applyNumberFormat="1" applyFont="1" applyFill="1" applyBorder="1" applyAlignment="1" applyProtection="1">
      <alignment horizontal="center" vertical="center"/>
      <protection locked="0" hidden="1"/>
    </xf>
    <xf numFmtId="2" fontId="0" fillId="0" borderId="0" xfId="0" applyNumberFormat="1" applyAlignment="1">
      <alignment horizontal="center" vertical="top" wrapText="1"/>
    </xf>
    <xf numFmtId="0" fontId="14" fillId="0" borderId="5" xfId="0" applyFont="1" applyBorder="1"/>
    <xf numFmtId="0" fontId="0" fillId="0" borderId="5" xfId="0" applyBorder="1" applyAlignment="1">
      <alignment horizontal="center"/>
    </xf>
    <xf numFmtId="0" fontId="0" fillId="13" borderId="5" xfId="0" applyFill="1" applyBorder="1"/>
    <xf numFmtId="0" fontId="14" fillId="14" borderId="5" xfId="0" applyFont="1" applyFill="1" applyBorder="1"/>
    <xf numFmtId="0" fontId="0" fillId="14" borderId="5" xfId="0" applyFill="1" applyBorder="1" applyAlignment="1">
      <alignment horizontal="center"/>
    </xf>
    <xf numFmtId="0" fontId="0" fillId="14" borderId="5" xfId="0" applyFill="1" applyBorder="1"/>
    <xf numFmtId="2" fontId="18" fillId="12" borderId="20" xfId="4" applyNumberFormat="1" applyAlignment="1">
      <alignment horizontal="center"/>
    </xf>
    <xf numFmtId="0" fontId="18" fillId="12" borderId="20" xfId="4" applyAlignment="1">
      <alignment horizontal="center"/>
    </xf>
    <xf numFmtId="0" fontId="18" fillId="12" borderId="20" xfId="4"/>
    <xf numFmtId="0" fontId="2" fillId="0" borderId="0" xfId="0" applyFont="1" applyBorder="1"/>
    <xf numFmtId="0" fontId="0" fillId="10" borderId="0" xfId="0" applyFill="1" applyAlignment="1">
      <alignment horizontal="right"/>
    </xf>
    <xf numFmtId="0" fontId="21" fillId="0" borderId="0" xfId="0" applyFont="1" applyBorder="1" applyAlignment="1"/>
    <xf numFmtId="0" fontId="21" fillId="0" borderId="0" xfId="0" applyFont="1" applyBorder="1" applyAlignment="1">
      <alignment vertical="center"/>
    </xf>
    <xf numFmtId="0" fontId="21" fillId="0" borderId="0" xfId="0" applyFont="1" applyFill="1" applyBorder="1" applyAlignment="1"/>
    <xf numFmtId="0" fontId="21" fillId="0" borderId="0" xfId="0" applyFont="1" applyBorder="1" applyAlignment="1">
      <alignment vertical="center" wrapText="1"/>
    </xf>
    <xf numFmtId="0" fontId="21" fillId="0" borderId="0" xfId="0" applyFont="1" applyBorder="1"/>
    <xf numFmtId="0" fontId="21" fillId="0" borderId="0" xfId="0" applyFont="1" applyBorder="1" applyAlignment="1">
      <alignment horizontal="left" wrapText="1"/>
    </xf>
    <xf numFmtId="0" fontId="21" fillId="0" borderId="0" xfId="0" applyFont="1" applyFill="1" applyBorder="1" applyAlignment="1">
      <alignment horizontal="center"/>
    </xf>
    <xf numFmtId="0" fontId="1" fillId="0" borderId="0" xfId="0" applyFont="1" applyBorder="1" applyAlignment="1">
      <alignment vertical="center"/>
    </xf>
    <xf numFmtId="0" fontId="22" fillId="0" borderId="0" xfId="0" applyFont="1" applyBorder="1"/>
    <xf numFmtId="0" fontId="21" fillId="0" borderId="0" xfId="0" applyFont="1" applyBorder="1" applyAlignment="1">
      <alignment horizontal="left" vertical="center" wrapText="1"/>
    </xf>
    <xf numFmtId="0" fontId="21" fillId="0" borderId="0" xfId="0" applyFont="1" applyFill="1" applyBorder="1"/>
    <xf numFmtId="2" fontId="22" fillId="0" borderId="7" xfId="0" applyNumberFormat="1" applyFont="1" applyBorder="1" applyAlignment="1">
      <alignment horizontal="center"/>
    </xf>
    <xf numFmtId="2" fontId="1" fillId="0" borderId="0" xfId="0" applyNumberFormat="1" applyFont="1" applyBorder="1" applyAlignment="1">
      <alignment horizontal="center"/>
    </xf>
    <xf numFmtId="0" fontId="22" fillId="0" borderId="0" xfId="0" applyFont="1"/>
    <xf numFmtId="167" fontId="0" fillId="10" borderId="0" xfId="0" applyNumberFormat="1" applyFill="1"/>
    <xf numFmtId="0" fontId="0" fillId="10" borderId="14" xfId="0" applyFill="1" applyBorder="1" applyAlignment="1">
      <alignment horizontal="left" vertical="top" wrapText="1"/>
    </xf>
    <xf numFmtId="2" fontId="0" fillId="9" borderId="22" xfId="0" applyNumberFormat="1" applyFill="1" applyBorder="1" applyAlignment="1">
      <alignment horizontal="center"/>
    </xf>
    <xf numFmtId="0" fontId="0" fillId="10" borderId="14" xfId="0" applyFill="1" applyBorder="1"/>
    <xf numFmtId="0" fontId="21" fillId="0" borderId="0" xfId="0" applyFont="1" applyFill="1" applyBorder="1" applyAlignment="1">
      <alignment horizontal="center" vertical="center"/>
    </xf>
    <xf numFmtId="0" fontId="15" fillId="0" borderId="0" xfId="0" applyFont="1" applyFill="1" applyBorder="1" applyAlignment="1"/>
    <xf numFmtId="0" fontId="14" fillId="0" borderId="0" xfId="0" applyFont="1" applyBorder="1" applyAlignment="1">
      <alignment horizontal="right"/>
    </xf>
    <xf numFmtId="0" fontId="14" fillId="8" borderId="0" xfId="0" applyFont="1" applyFill="1" applyBorder="1" applyAlignment="1" applyProtection="1">
      <alignment horizontal="center"/>
      <protection locked="0" hidden="1"/>
    </xf>
    <xf numFmtId="0" fontId="0" fillId="0" borderId="0" xfId="0" applyFont="1" applyBorder="1" applyAlignment="1"/>
    <xf numFmtId="3" fontId="21" fillId="8" borderId="0" xfId="0" applyNumberFormat="1" applyFont="1" applyFill="1" applyBorder="1" applyAlignment="1" applyProtection="1">
      <alignment horizontal="center" vertical="center"/>
      <protection locked="0" hidden="1"/>
    </xf>
    <xf numFmtId="0" fontId="14" fillId="0" borderId="0" xfId="0" applyFont="1" applyBorder="1" applyAlignment="1">
      <alignment horizontal="left" wrapText="1"/>
    </xf>
    <xf numFmtId="1" fontId="7" fillId="6" borderId="0" xfId="0" applyNumberFormat="1" applyFont="1" applyFill="1" applyBorder="1" applyAlignment="1" applyProtection="1">
      <alignment horizontal="center"/>
      <protection locked="0" hidden="1"/>
    </xf>
    <xf numFmtId="1" fontId="14" fillId="0" borderId="0" xfId="0" applyNumberFormat="1" applyFont="1" applyBorder="1" applyAlignment="1">
      <alignment horizontal="center"/>
    </xf>
    <xf numFmtId="1" fontId="14" fillId="6" borderId="0" xfId="0" applyNumberFormat="1" applyFont="1" applyFill="1" applyBorder="1" applyAlignment="1" applyProtection="1">
      <alignment horizontal="center"/>
      <protection locked="0" hidden="1"/>
    </xf>
    <xf numFmtId="1" fontId="14" fillId="0" borderId="0" xfId="0" applyNumberFormat="1" applyFont="1" applyFill="1" applyBorder="1" applyAlignment="1" applyProtection="1">
      <alignment horizontal="center"/>
      <protection locked="0" hidden="1"/>
    </xf>
    <xf numFmtId="0" fontId="21" fillId="7" borderId="0" xfId="0" applyFont="1" applyFill="1" applyBorder="1" applyAlignment="1" applyProtection="1">
      <alignment horizontal="center"/>
    </xf>
    <xf numFmtId="1" fontId="14" fillId="0" borderId="0" xfId="0" applyNumberFormat="1" applyFont="1" applyFill="1" applyBorder="1" applyAlignment="1">
      <alignment horizontal="center"/>
    </xf>
    <xf numFmtId="0" fontId="21" fillId="0" borderId="0" xfId="0" applyFont="1" applyBorder="1" applyAlignment="1">
      <alignment horizontal="right" wrapText="1"/>
    </xf>
    <xf numFmtId="2" fontId="14" fillId="3" borderId="0" xfId="0" applyNumberFormat="1" applyFont="1" applyFill="1" applyBorder="1" applyAlignment="1" applyProtection="1">
      <alignment horizontal="center"/>
      <protection locked="0" hidden="1"/>
    </xf>
    <xf numFmtId="2" fontId="14" fillId="11" borderId="0" xfId="0" applyNumberFormat="1" applyFont="1" applyFill="1" applyBorder="1" applyAlignment="1" applyProtection="1">
      <alignment horizontal="center"/>
      <protection locked="0"/>
    </xf>
    <xf numFmtId="164" fontId="14" fillId="4" borderId="0" xfId="0" applyNumberFormat="1" applyFont="1" applyFill="1" applyBorder="1" applyAlignment="1">
      <alignment horizontal="center"/>
    </xf>
    <xf numFmtId="2" fontId="14" fillId="0" borderId="0" xfId="0" applyNumberFormat="1" applyFont="1" applyBorder="1"/>
    <xf numFmtId="164" fontId="14" fillId="7" borderId="0" xfId="0" applyNumberFormat="1" applyFont="1" applyFill="1" applyBorder="1" applyAlignment="1">
      <alignment horizontal="center"/>
    </xf>
    <xf numFmtId="0" fontId="14" fillId="0" borderId="0" xfId="0" applyFont="1" applyFill="1" applyBorder="1" applyAlignment="1">
      <alignment horizontal="center"/>
    </xf>
    <xf numFmtId="0" fontId="21" fillId="0" borderId="0" xfId="0" applyFont="1" applyFill="1" applyBorder="1" applyAlignment="1">
      <alignment horizontal="center" wrapText="1"/>
    </xf>
    <xf numFmtId="2" fontId="21" fillId="4" borderId="0" xfId="0" applyNumberFormat="1" applyFont="1" applyFill="1" applyBorder="1" applyAlignment="1">
      <alignment horizontal="center"/>
    </xf>
    <xf numFmtId="4" fontId="7" fillId="0" borderId="0" xfId="0" applyNumberFormat="1" applyFont="1" applyFill="1" applyBorder="1" applyAlignment="1">
      <alignment horizontal="center"/>
    </xf>
    <xf numFmtId="2" fontId="14" fillId="6" borderId="0" xfId="0" applyNumberFormat="1" applyFont="1" applyFill="1" applyBorder="1" applyAlignment="1" applyProtection="1">
      <alignment horizontal="center"/>
      <protection locked="0" hidden="1"/>
    </xf>
    <xf numFmtId="0" fontId="14" fillId="3" borderId="0" xfId="0" applyFont="1" applyFill="1" applyBorder="1" applyAlignment="1" applyProtection="1">
      <alignment horizontal="center"/>
      <protection locked="0" hidden="1"/>
    </xf>
    <xf numFmtId="1" fontId="14" fillId="11" borderId="0" xfId="0" applyNumberFormat="1" applyFont="1" applyFill="1" applyBorder="1" applyAlignment="1" applyProtection="1">
      <alignment horizontal="center"/>
      <protection locked="0" hidden="1"/>
    </xf>
    <xf numFmtId="0" fontId="7" fillId="0" borderId="0" xfId="0" applyFont="1" applyBorder="1" applyAlignment="1">
      <alignment horizontal="center" wrapText="1"/>
    </xf>
    <xf numFmtId="0" fontId="7" fillId="0" borderId="2" xfId="0" applyFont="1" applyBorder="1" applyAlignment="1">
      <alignment horizontal="center"/>
    </xf>
    <xf numFmtId="0" fontId="7" fillId="0" borderId="2" xfId="0" applyFont="1" applyBorder="1" applyAlignment="1">
      <alignment horizontal="right"/>
    </xf>
    <xf numFmtId="0" fontId="10" fillId="0" borderId="2" xfId="0" applyFont="1" applyBorder="1" applyAlignment="1">
      <alignment horizontal="center" wrapText="1"/>
    </xf>
    <xf numFmtId="0" fontId="10" fillId="0" borderId="2" xfId="0" applyFont="1" applyBorder="1" applyAlignment="1">
      <alignment horizontal="left" wrapText="1"/>
    </xf>
    <xf numFmtId="0" fontId="14" fillId="11" borderId="0" xfId="0" applyFont="1" applyFill="1" applyBorder="1" applyAlignment="1" applyProtection="1">
      <alignment horizontal="center"/>
      <protection locked="0" hidden="1"/>
    </xf>
    <xf numFmtId="0" fontId="0" fillId="0" borderId="0" xfId="0" applyFont="1" applyBorder="1"/>
    <xf numFmtId="1" fontId="14" fillId="7" borderId="0" xfId="0" applyNumberFormat="1" applyFont="1" applyFill="1" applyBorder="1" applyAlignment="1">
      <alignment horizontal="center"/>
    </xf>
    <xf numFmtId="0" fontId="14" fillId="6" borderId="0" xfId="0" applyFont="1" applyFill="1" applyBorder="1" applyAlignment="1" applyProtection="1">
      <alignment horizontal="center"/>
      <protection locked="0" hidden="1"/>
    </xf>
    <xf numFmtId="0" fontId="14" fillId="6" borderId="0" xfId="0" applyNumberFormat="1" applyFont="1" applyFill="1" applyBorder="1" applyAlignment="1" applyProtection="1">
      <alignment horizontal="center"/>
      <protection locked="0" hidden="1"/>
    </xf>
    <xf numFmtId="164" fontId="14" fillId="0" borderId="0" xfId="0" applyNumberFormat="1" applyFont="1" applyFill="1" applyBorder="1"/>
    <xf numFmtId="0" fontId="28" fillId="0" borderId="0" xfId="0" applyFont="1" applyBorder="1" applyAlignment="1">
      <alignment wrapText="1"/>
    </xf>
    <xf numFmtId="0" fontId="26" fillId="0" borderId="0" xfId="0" applyFont="1" applyBorder="1" applyAlignment="1">
      <alignment horizontal="center"/>
    </xf>
    <xf numFmtId="1" fontId="14" fillId="8" borderId="0" xfId="0" applyNumberFormat="1" applyFont="1" applyFill="1" applyBorder="1" applyAlignment="1" applyProtection="1">
      <alignment horizontal="center"/>
      <protection locked="0"/>
    </xf>
    <xf numFmtId="0" fontId="10" fillId="0" borderId="0" xfId="0" applyFont="1" applyBorder="1" applyAlignment="1">
      <alignment horizontal="left"/>
    </xf>
    <xf numFmtId="0" fontId="14" fillId="8" borderId="0" xfId="0" applyFont="1" applyFill="1" applyBorder="1" applyAlignment="1" applyProtection="1">
      <alignment horizontal="center"/>
      <protection locked="0"/>
    </xf>
    <xf numFmtId="0" fontId="7" fillId="8" borderId="0" xfId="0" applyFont="1" applyFill="1" applyBorder="1" applyAlignment="1" applyProtection="1">
      <alignment horizontal="center"/>
      <protection locked="0"/>
    </xf>
    <xf numFmtId="0" fontId="15" fillId="0" borderId="0" xfId="0" applyFont="1" applyFill="1" applyBorder="1" applyAlignment="1">
      <alignment horizontal="left" wrapText="1"/>
    </xf>
    <xf numFmtId="0" fontId="14" fillId="0" borderId="0" xfId="0" applyFont="1" applyBorder="1" applyAlignment="1">
      <alignment horizontal="left" vertical="center" wrapText="1"/>
    </xf>
    <xf numFmtId="167" fontId="14" fillId="7" borderId="5" xfId="0" applyNumberFormat="1" applyFont="1" applyFill="1" applyBorder="1" applyAlignment="1">
      <alignment horizontal="center" vertical="center"/>
    </xf>
    <xf numFmtId="0" fontId="15" fillId="0" borderId="0" xfId="0" applyFont="1" applyBorder="1" applyAlignment="1">
      <alignment horizontal="left" vertical="top" wrapText="1"/>
    </xf>
    <xf numFmtId="0" fontId="7" fillId="7" borderId="0" xfId="0" applyFont="1" applyFill="1" applyBorder="1" applyAlignment="1">
      <alignment horizontal="center"/>
    </xf>
    <xf numFmtId="0" fontId="7" fillId="8" borderId="0" xfId="0" applyFont="1" applyFill="1" applyBorder="1" applyAlignment="1" applyProtection="1">
      <alignment horizontal="center"/>
      <protection locked="0" hidden="1"/>
    </xf>
    <xf numFmtId="0" fontId="15" fillId="0" borderId="0" xfId="0" applyFont="1" applyBorder="1" applyAlignment="1">
      <alignment horizontal="left" wrapText="1"/>
    </xf>
    <xf numFmtId="0" fontId="8" fillId="0" borderId="0" xfId="0" applyFont="1" applyBorder="1" applyAlignment="1"/>
    <xf numFmtId="165" fontId="7" fillId="7" borderId="0" xfId="0" applyNumberFormat="1" applyFont="1" applyFill="1" applyBorder="1" applyAlignment="1">
      <alignment horizontal="center"/>
    </xf>
    <xf numFmtId="0" fontId="29" fillId="0" borderId="0" xfId="0" applyFont="1" applyBorder="1"/>
    <xf numFmtId="0" fontId="0" fillId="0" borderId="0" xfId="0" applyFont="1" applyBorder="1" applyAlignment="1">
      <alignment vertical="center"/>
    </xf>
    <xf numFmtId="0" fontId="0" fillId="0" borderId="4" xfId="0" applyFont="1" applyBorder="1"/>
    <xf numFmtId="2" fontId="7" fillId="7" borderId="0" xfId="0" applyNumberFormat="1" applyFont="1" applyFill="1" applyBorder="1" applyAlignment="1" applyProtection="1">
      <alignment horizontal="center"/>
    </xf>
    <xf numFmtId="0" fontId="7" fillId="0" borderId="0" xfId="0" applyFont="1" applyFill="1" applyBorder="1"/>
    <xf numFmtId="0" fontId="0" fillId="0" borderId="2" xfId="0" applyFont="1" applyBorder="1"/>
    <xf numFmtId="0" fontId="7" fillId="0" borderId="2" xfId="0" applyFont="1" applyBorder="1" applyAlignment="1">
      <alignment horizontal="center" vertical="center"/>
    </xf>
    <xf numFmtId="165" fontId="14" fillId="0" borderId="2" xfId="0" applyNumberFormat="1" applyFont="1" applyBorder="1" applyAlignment="1">
      <alignment horizontal="center" vertical="center"/>
    </xf>
    <xf numFmtId="2" fontId="14" fillId="0" borderId="2" xfId="0" applyNumberFormat="1" applyFont="1" applyBorder="1" applyAlignment="1">
      <alignment horizontal="center" vertical="center"/>
    </xf>
    <xf numFmtId="165" fontId="14" fillId="0" borderId="2" xfId="0" applyNumberFormat="1" applyFont="1" applyFill="1" applyBorder="1" applyAlignment="1">
      <alignment horizontal="center" vertical="center"/>
    </xf>
    <xf numFmtId="0" fontId="35" fillId="0" borderId="6" xfId="0" applyFont="1" applyFill="1" applyBorder="1" applyAlignment="1">
      <alignment horizontal="center"/>
    </xf>
    <xf numFmtId="0" fontId="7" fillId="0" borderId="1" xfId="0" applyFont="1" applyBorder="1" applyAlignment="1">
      <alignment horizontal="left"/>
    </xf>
    <xf numFmtId="0" fontId="7" fillId="0" borderId="0" xfId="0" applyFont="1" applyBorder="1" applyAlignment="1">
      <alignment horizontal="left"/>
    </xf>
    <xf numFmtId="0" fontId="10" fillId="0" borderId="0" xfId="0" applyFont="1" applyBorder="1" applyAlignment="1">
      <alignment horizontal="center"/>
    </xf>
    <xf numFmtId="0" fontId="15" fillId="0" borderId="0" xfId="0" applyFont="1" applyBorder="1" applyAlignment="1">
      <alignment horizontal="center"/>
    </xf>
    <xf numFmtId="0" fontId="10" fillId="0" borderId="0" xfId="0" applyFont="1" applyBorder="1" applyAlignment="1">
      <alignment horizontal="center" vertical="center" wrapText="1"/>
    </xf>
    <xf numFmtId="0" fontId="21" fillId="0" borderId="0" xfId="0" applyFont="1" applyFill="1" applyBorder="1" applyAlignment="1">
      <alignment horizontal="right"/>
    </xf>
    <xf numFmtId="0" fontId="21" fillId="0" borderId="0" xfId="0" applyFont="1" applyFill="1" applyBorder="1" applyAlignment="1">
      <alignment horizontal="center"/>
    </xf>
    <xf numFmtId="0" fontId="14" fillId="0" borderId="0" xfId="0" applyFont="1" applyBorder="1" applyAlignment="1">
      <alignment horizontal="center"/>
    </xf>
    <xf numFmtId="0" fontId="7" fillId="0" borderId="0" xfId="0" applyFont="1" applyBorder="1" applyAlignment="1"/>
    <xf numFmtId="0" fontId="7" fillId="0" borderId="0" xfId="0" applyFont="1" applyBorder="1" applyAlignment="1">
      <alignment horizontal="right" wrapText="1"/>
    </xf>
    <xf numFmtId="0" fontId="14" fillId="0" borderId="0" xfId="0" applyFont="1" applyBorder="1"/>
    <xf numFmtId="0" fontId="21" fillId="0" borderId="0" xfId="0" applyFont="1" applyBorder="1" applyAlignment="1">
      <alignment wrapText="1"/>
    </xf>
    <xf numFmtId="0" fontId="7" fillId="0" borderId="0" xfId="0" applyFont="1" applyBorder="1" applyAlignment="1">
      <alignment horizontal="center"/>
    </xf>
    <xf numFmtId="0" fontId="8" fillId="0" borderId="0" xfId="0" applyFont="1" applyBorder="1" applyAlignment="1">
      <alignment horizontal="left"/>
    </xf>
    <xf numFmtId="0" fontId="15" fillId="0" borderId="0" xfId="0" applyFont="1" applyBorder="1"/>
    <xf numFmtId="0" fontId="14" fillId="0" borderId="0" xfId="0" applyFont="1" applyBorder="1" applyAlignment="1">
      <alignment horizontal="center" wrapText="1"/>
    </xf>
    <xf numFmtId="0" fontId="7" fillId="0" borderId="0" xfId="0" applyFont="1" applyBorder="1" applyAlignment="1">
      <alignment horizontal="right"/>
    </xf>
    <xf numFmtId="0" fontId="7" fillId="0" borderId="0" xfId="0" applyFont="1" applyBorder="1" applyAlignment="1">
      <alignment horizontal="left" wrapText="1"/>
    </xf>
    <xf numFmtId="0" fontId="21" fillId="0" borderId="0" xfId="0" applyFont="1" applyBorder="1" applyAlignment="1">
      <alignment horizontal="left" wrapText="1"/>
    </xf>
    <xf numFmtId="0" fontId="15" fillId="0" borderId="2" xfId="0" applyFont="1" applyBorder="1" applyAlignment="1">
      <alignment horizontal="center"/>
    </xf>
    <xf numFmtId="0" fontId="7" fillId="0" borderId="0" xfId="0" applyFont="1" applyBorder="1"/>
    <xf numFmtId="0" fontId="21" fillId="0" borderId="0" xfId="0" applyFont="1" applyBorder="1" applyAlignment="1">
      <alignment horizontal="center" wrapText="1"/>
    </xf>
    <xf numFmtId="0" fontId="1" fillId="0" borderId="25" xfId="0" applyFont="1" applyBorder="1"/>
    <xf numFmtId="0" fontId="1" fillId="3" borderId="14" xfId="0" applyFont="1" applyFill="1" applyBorder="1" applyAlignment="1" applyProtection="1">
      <alignment horizontal="center"/>
      <protection locked="0" hidden="1"/>
    </xf>
    <xf numFmtId="0" fontId="1" fillId="3" borderId="24" xfId="0" applyFont="1" applyFill="1" applyBorder="1" applyAlignment="1" applyProtection="1">
      <alignment horizontal="center"/>
      <protection locked="0" hidden="1"/>
    </xf>
    <xf numFmtId="0" fontId="21" fillId="0" borderId="25" xfId="0" applyFont="1" applyFill="1" applyBorder="1" applyAlignment="1">
      <alignment horizontal="center" vertical="center"/>
    </xf>
    <xf numFmtId="0" fontId="14" fillId="0" borderId="4" xfId="0" applyFont="1" applyBorder="1" applyAlignment="1"/>
    <xf numFmtId="0" fontId="14" fillId="0" borderId="4" xfId="0" applyFont="1" applyBorder="1" applyAlignment="1">
      <alignment vertical="center"/>
    </xf>
    <xf numFmtId="0" fontId="14" fillId="0" borderId="4" xfId="0" applyFont="1" applyFill="1" applyBorder="1" applyAlignment="1"/>
    <xf numFmtId="0" fontId="21" fillId="0" borderId="25" xfId="0" applyFont="1" applyFill="1" applyBorder="1" applyAlignment="1"/>
    <xf numFmtId="0" fontId="14" fillId="0" borderId="4" xfId="0" applyFont="1" applyBorder="1" applyAlignment="1">
      <alignment vertical="center" wrapText="1"/>
    </xf>
    <xf numFmtId="0" fontId="21" fillId="0" borderId="25" xfId="0" applyFont="1" applyBorder="1" applyAlignment="1">
      <alignment horizontal="left" wrapText="1"/>
    </xf>
    <xf numFmtId="0" fontId="14" fillId="0" borderId="4" xfId="0" applyFont="1" applyBorder="1"/>
    <xf numFmtId="0" fontId="21" fillId="0" borderId="25" xfId="0" applyFont="1" applyBorder="1" applyAlignment="1">
      <alignment horizontal="center" wrapText="1"/>
    </xf>
    <xf numFmtId="0" fontId="7" fillId="0" borderId="4" xfId="0" applyFont="1" applyBorder="1"/>
    <xf numFmtId="0" fontId="21" fillId="0" borderId="25" xfId="0" applyFont="1" applyBorder="1" applyAlignment="1">
      <alignment horizontal="right" wrapText="1"/>
    </xf>
    <xf numFmtId="0" fontId="21" fillId="0" borderId="25" xfId="0" applyFont="1" applyFill="1" applyBorder="1" applyAlignment="1">
      <alignment horizontal="center"/>
    </xf>
    <xf numFmtId="0" fontId="21" fillId="0" borderId="8" xfId="0" applyFont="1" applyFill="1" applyBorder="1" applyAlignment="1">
      <alignment horizontal="center"/>
    </xf>
    <xf numFmtId="0" fontId="21" fillId="0" borderId="3" xfId="0" applyFont="1" applyFill="1" applyBorder="1" applyAlignment="1">
      <alignment horizontal="center"/>
    </xf>
    <xf numFmtId="0" fontId="14" fillId="0" borderId="3" xfId="0" applyFont="1" applyBorder="1" applyAlignment="1"/>
    <xf numFmtId="0" fontId="14" fillId="0" borderId="9" xfId="0" applyFont="1" applyBorder="1" applyAlignment="1"/>
    <xf numFmtId="0" fontId="21" fillId="0" borderId="23" xfId="0" applyFont="1" applyFill="1" applyBorder="1" applyAlignment="1">
      <alignment horizontal="center" wrapText="1"/>
    </xf>
    <xf numFmtId="0" fontId="21" fillId="0" borderId="4" xfId="0" applyFont="1" applyFill="1" applyBorder="1" applyAlignment="1">
      <alignment horizontal="center" wrapText="1"/>
    </xf>
    <xf numFmtId="0" fontId="14" fillId="0" borderId="25" xfId="0" applyFont="1" applyBorder="1"/>
    <xf numFmtId="0" fontId="21" fillId="0" borderId="4" xfId="0" applyFont="1" applyBorder="1"/>
    <xf numFmtId="0" fontId="7" fillId="0" borderId="25" xfId="0" applyFont="1" applyBorder="1"/>
    <xf numFmtId="0" fontId="7" fillId="0" borderId="25" xfId="0" applyFont="1" applyBorder="1" applyAlignment="1">
      <alignment horizontal="center"/>
    </xf>
    <xf numFmtId="0" fontId="7" fillId="0" borderId="28" xfId="0" applyFont="1" applyBorder="1" applyAlignment="1">
      <alignment horizontal="center"/>
    </xf>
    <xf numFmtId="0" fontId="10" fillId="0" borderId="29" xfId="0" applyFont="1" applyBorder="1" applyAlignment="1">
      <alignment horizontal="left" wrapText="1"/>
    </xf>
    <xf numFmtId="0" fontId="7" fillId="0" borderId="23" xfId="0" applyFont="1" applyBorder="1" applyAlignment="1">
      <alignment horizontal="left"/>
    </xf>
    <xf numFmtId="0" fontId="7" fillId="0" borderId="25" xfId="0" applyFont="1" applyBorder="1" applyAlignment="1">
      <alignment horizontal="left"/>
    </xf>
    <xf numFmtId="0" fontId="7" fillId="0" borderId="4" xfId="0" applyFont="1" applyBorder="1" applyAlignment="1">
      <alignment vertical="center"/>
    </xf>
    <xf numFmtId="0" fontId="14" fillId="0" borderId="25" xfId="0" applyFont="1" applyBorder="1" applyAlignment="1">
      <alignment horizontal="left"/>
    </xf>
    <xf numFmtId="0" fontId="7" fillId="0" borderId="8" xfId="0" applyFont="1" applyBorder="1" applyAlignment="1">
      <alignment horizontal="left"/>
    </xf>
    <xf numFmtId="0" fontId="7" fillId="0" borderId="3" xfId="0" applyFont="1" applyBorder="1" applyAlignment="1">
      <alignment horizontal="left"/>
    </xf>
    <xf numFmtId="0" fontId="7" fillId="0" borderId="3" xfId="0" applyFont="1" applyBorder="1" applyAlignment="1">
      <alignment horizontal="right"/>
    </xf>
    <xf numFmtId="2" fontId="14" fillId="0" borderId="3" xfId="0" applyNumberFormat="1" applyFont="1" applyFill="1" applyBorder="1" applyAlignment="1">
      <alignment horizontal="center"/>
    </xf>
    <xf numFmtId="0" fontId="7" fillId="0" borderId="9" xfId="0" applyFont="1" applyBorder="1"/>
    <xf numFmtId="0" fontId="7" fillId="0" borderId="25" xfId="0" applyFont="1" applyFill="1" applyBorder="1" applyAlignment="1">
      <alignment horizontal="center"/>
    </xf>
    <xf numFmtId="0" fontId="7" fillId="0" borderId="4" xfId="0" applyFont="1" applyFill="1" applyBorder="1" applyAlignment="1">
      <alignment horizontal="center"/>
    </xf>
    <xf numFmtId="0" fontId="10" fillId="0" borderId="4" xfId="0" applyFont="1" applyBorder="1"/>
    <xf numFmtId="0" fontId="28" fillId="0" borderId="25" xfId="0" applyFont="1" applyBorder="1" applyAlignment="1">
      <alignment wrapText="1"/>
    </xf>
    <xf numFmtId="0" fontId="22" fillId="0" borderId="25" xfId="0" applyFont="1" applyFill="1" applyBorder="1"/>
    <xf numFmtId="0" fontId="22" fillId="0" borderId="0" xfId="0" applyFont="1" applyFill="1" applyBorder="1"/>
    <xf numFmtId="0" fontId="7" fillId="0" borderId="25" xfId="0" applyFont="1" applyBorder="1" applyAlignment="1">
      <alignment horizontal="right"/>
    </xf>
    <xf numFmtId="0" fontId="10" fillId="0" borderId="4" xfId="0" applyFont="1" applyBorder="1" applyAlignment="1">
      <alignment horizontal="left" wrapText="1"/>
    </xf>
    <xf numFmtId="0" fontId="21" fillId="0" borderId="25" xfId="0" applyFont="1" applyBorder="1" applyAlignment="1">
      <alignment horizontal="right"/>
    </xf>
    <xf numFmtId="0" fontId="8" fillId="0" borderId="25" xfId="0" applyFont="1" applyBorder="1" applyAlignment="1">
      <alignment horizontal="left"/>
    </xf>
    <xf numFmtId="0" fontId="7" fillId="0" borderId="8" xfId="0" applyFont="1" applyBorder="1" applyAlignment="1">
      <alignment horizontal="right"/>
    </xf>
    <xf numFmtId="0" fontId="0" fillId="0" borderId="3" xfId="0" applyFont="1" applyBorder="1"/>
    <xf numFmtId="0" fontId="15" fillId="0" borderId="3" xfId="0" applyFont="1" applyBorder="1" applyAlignment="1">
      <alignment horizontal="left" vertical="center" wrapText="1"/>
    </xf>
    <xf numFmtId="0" fontId="15" fillId="0" borderId="9" xfId="0" applyFont="1" applyBorder="1" applyAlignment="1">
      <alignment horizontal="left" vertical="center" wrapText="1"/>
    </xf>
    <xf numFmtId="0" fontId="1" fillId="0" borderId="4" xfId="0" applyFont="1" applyFill="1" applyBorder="1" applyAlignment="1">
      <alignment horizontal="left" wrapText="1"/>
    </xf>
    <xf numFmtId="2" fontId="22" fillId="10" borderId="10" xfId="0" applyNumberFormat="1" applyFont="1" applyFill="1" applyBorder="1" applyAlignment="1">
      <alignment horizontal="center"/>
    </xf>
    <xf numFmtId="0" fontId="7" fillId="0" borderId="23" xfId="0" applyFont="1" applyFill="1" applyBorder="1" applyAlignment="1">
      <alignment horizontal="center"/>
    </xf>
    <xf numFmtId="0" fontId="31" fillId="0" borderId="25" xfId="0" applyFont="1" applyFill="1" applyBorder="1"/>
    <xf numFmtId="0" fontId="14" fillId="0" borderId="4" xfId="0" applyFont="1" applyFill="1" applyBorder="1"/>
    <xf numFmtId="0" fontId="15" fillId="0" borderId="4" xfId="0" applyFont="1" applyFill="1" applyBorder="1" applyAlignment="1">
      <alignment horizontal="left" wrapText="1"/>
    </xf>
    <xf numFmtId="0" fontId="14" fillId="0" borderId="25" xfId="0" applyFont="1" applyBorder="1" applyAlignment="1">
      <alignment horizontal="left" vertical="center" wrapText="1"/>
    </xf>
    <xf numFmtId="2" fontId="14" fillId="16" borderId="5" xfId="0" applyNumberFormat="1" applyFont="1" applyFill="1" applyBorder="1" applyAlignment="1">
      <alignment horizontal="center" vertical="center"/>
    </xf>
    <xf numFmtId="2" fontId="14" fillId="7" borderId="5" xfId="0" applyNumberFormat="1" applyFont="1" applyFill="1" applyBorder="1" applyAlignment="1">
      <alignment horizontal="center" vertical="center"/>
    </xf>
    <xf numFmtId="0" fontId="0" fillId="0" borderId="25" xfId="0" applyFont="1" applyBorder="1"/>
    <xf numFmtId="0" fontId="8" fillId="0" borderId="25" xfId="0" applyFont="1" applyBorder="1" applyAlignment="1"/>
    <xf numFmtId="0" fontId="8" fillId="0" borderId="25" xfId="0" applyFont="1" applyBorder="1"/>
    <xf numFmtId="0" fontId="7" fillId="0" borderId="25" xfId="0" applyFont="1" applyBorder="1" applyAlignment="1">
      <alignment horizontal="center" wrapText="1"/>
    </xf>
    <xf numFmtId="2" fontId="14" fillId="0" borderId="17" xfId="0" applyNumberFormat="1" applyFont="1" applyFill="1" applyBorder="1" applyAlignment="1">
      <alignment horizontal="center" vertical="center"/>
    </xf>
    <xf numFmtId="0" fontId="0" fillId="0" borderId="28" xfId="0" applyFont="1" applyBorder="1"/>
    <xf numFmtId="2" fontId="7" fillId="7" borderId="29" xfId="0" applyNumberFormat="1" applyFont="1" applyFill="1" applyBorder="1" applyAlignment="1">
      <alignment horizontal="center" vertical="center"/>
    </xf>
    <xf numFmtId="0" fontId="21" fillId="0" borderId="16" xfId="0" applyFont="1" applyFill="1" applyBorder="1"/>
    <xf numFmtId="0" fontId="35" fillId="0" borderId="30" xfId="0" applyFont="1" applyFill="1" applyBorder="1" applyAlignment="1">
      <alignment horizontal="center"/>
    </xf>
    <xf numFmtId="0" fontId="1" fillId="0" borderId="13" xfId="0" applyFont="1" applyBorder="1" applyAlignment="1">
      <alignment horizontal="center"/>
    </xf>
    <xf numFmtId="0" fontId="1" fillId="0" borderId="22" xfId="0" applyFont="1" applyBorder="1" applyAlignment="1">
      <alignment horizontal="center"/>
    </xf>
    <xf numFmtId="0" fontId="1" fillId="0" borderId="14" xfId="0" applyFont="1" applyBorder="1" applyAlignment="1">
      <alignment horizontal="center"/>
    </xf>
    <xf numFmtId="165" fontId="14" fillId="8" borderId="5" xfId="0" applyNumberFormat="1" applyFont="1" applyFill="1" applyBorder="1" applyAlignment="1" applyProtection="1">
      <alignment horizontal="center" vertical="center"/>
      <protection locked="0" hidden="1"/>
    </xf>
    <xf numFmtId="0" fontId="7" fillId="8" borderId="0" xfId="0" applyFont="1" applyFill="1" applyBorder="1" applyAlignment="1" applyProtection="1">
      <alignment horizontal="center"/>
      <protection locked="0" hidden="1"/>
    </xf>
    <xf numFmtId="0" fontId="21" fillId="0" borderId="25" xfId="0" applyFont="1" applyFill="1" applyBorder="1" applyAlignment="1">
      <alignment horizontal="left" vertical="center"/>
    </xf>
    <xf numFmtId="0" fontId="21" fillId="0" borderId="0" xfId="0" applyFont="1" applyFill="1" applyBorder="1" applyAlignment="1">
      <alignment horizontal="left" vertical="center"/>
    </xf>
    <xf numFmtId="0" fontId="7" fillId="0" borderId="25" xfId="0" applyFont="1" applyBorder="1" applyAlignment="1">
      <alignment horizontal="left"/>
    </xf>
    <xf numFmtId="0" fontId="7" fillId="0" borderId="0" xfId="0" applyFont="1" applyBorder="1" applyAlignment="1">
      <alignment horizontal="left"/>
    </xf>
    <xf numFmtId="0" fontId="10" fillId="0" borderId="0" xfId="0" applyFont="1" applyBorder="1" applyAlignment="1">
      <alignment horizontal="center"/>
    </xf>
    <xf numFmtId="0" fontId="7" fillId="5" borderId="13" xfId="0" applyFont="1" applyFill="1" applyBorder="1" applyAlignment="1">
      <alignment horizontal="center"/>
    </xf>
    <xf numFmtId="0" fontId="7" fillId="5" borderId="22" xfId="0" applyFont="1" applyFill="1" applyBorder="1" applyAlignment="1">
      <alignment horizontal="center"/>
    </xf>
    <xf numFmtId="0" fontId="7" fillId="5" borderId="14" xfId="0" applyFont="1" applyFill="1" applyBorder="1" applyAlignment="1">
      <alignment horizontal="center"/>
    </xf>
    <xf numFmtId="0" fontId="7" fillId="0" borderId="25" xfId="0" applyFont="1" applyBorder="1" applyAlignment="1">
      <alignment horizontal="center" vertical="center"/>
    </xf>
    <xf numFmtId="0" fontId="7" fillId="0" borderId="0" xfId="0" applyFont="1" applyBorder="1" applyAlignment="1">
      <alignment horizontal="center" vertical="center"/>
    </xf>
    <xf numFmtId="0" fontId="28" fillId="0" borderId="25" xfId="0" applyFont="1" applyBorder="1" applyAlignment="1">
      <alignment horizontal="left"/>
    </xf>
    <xf numFmtId="0" fontId="28" fillId="0" borderId="0" xfId="0" applyFont="1" applyBorder="1" applyAlignment="1">
      <alignment horizontal="left"/>
    </xf>
    <xf numFmtId="0" fontId="15" fillId="0" borderId="0" xfId="0" applyFont="1" applyBorder="1" applyAlignment="1">
      <alignment horizontal="center"/>
    </xf>
    <xf numFmtId="0" fontId="10" fillId="0" borderId="0" xfId="0" applyFont="1" applyBorder="1" applyAlignment="1">
      <alignment horizontal="center" vertical="center" wrapText="1"/>
    </xf>
    <xf numFmtId="0" fontId="21" fillId="0" borderId="0" xfId="0" applyFont="1" applyFill="1" applyBorder="1" applyAlignment="1">
      <alignment horizontal="right"/>
    </xf>
    <xf numFmtId="0" fontId="10" fillId="0" borderId="0" xfId="0" applyFont="1" applyBorder="1" applyAlignment="1">
      <alignment horizontal="left" vertical="center" wrapText="1"/>
    </xf>
    <xf numFmtId="0" fontId="21" fillId="0" borderId="0" xfId="0" applyFont="1" applyFill="1" applyBorder="1" applyAlignment="1">
      <alignment horizontal="center"/>
    </xf>
    <xf numFmtId="0" fontId="21" fillId="0" borderId="0" xfId="0" applyFont="1" applyFill="1" applyBorder="1" applyAlignment="1">
      <alignment horizontal="left"/>
    </xf>
    <xf numFmtId="0" fontId="10" fillId="0" borderId="0" xfId="0" applyFont="1" applyFill="1" applyBorder="1" applyAlignment="1">
      <alignment horizontal="center"/>
    </xf>
    <xf numFmtId="0" fontId="21" fillId="0" borderId="25" xfId="0" applyFont="1" applyFill="1" applyBorder="1" applyAlignment="1">
      <alignment horizontal="left"/>
    </xf>
    <xf numFmtId="0" fontId="14" fillId="0" borderId="0" xfId="0" applyFont="1" applyBorder="1" applyAlignment="1">
      <alignment horizontal="center"/>
    </xf>
    <xf numFmtId="0" fontId="14" fillId="0" borderId="23" xfId="0" applyFont="1" applyFill="1" applyBorder="1" applyAlignment="1">
      <alignment horizontal="left" vertical="top" wrapText="1"/>
    </xf>
    <xf numFmtId="0" fontId="14" fillId="0" borderId="24" xfId="0" applyFont="1" applyFill="1" applyBorder="1" applyAlignment="1">
      <alignment horizontal="left" vertical="top" wrapText="1"/>
    </xf>
    <xf numFmtId="0" fontId="7" fillId="0" borderId="25" xfId="0" applyFont="1" applyBorder="1" applyAlignment="1"/>
    <xf numFmtId="0" fontId="7" fillId="0" borderId="0" xfId="0" applyFont="1" applyBorder="1" applyAlignment="1"/>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7" fillId="0" borderId="0" xfId="0" applyFont="1" applyBorder="1" applyAlignment="1">
      <alignment horizontal="right" wrapText="1"/>
    </xf>
    <xf numFmtId="0" fontId="21" fillId="5" borderId="26" xfId="0" applyFont="1" applyFill="1" applyBorder="1" applyAlignment="1">
      <alignment horizontal="center" vertical="center"/>
    </xf>
    <xf numFmtId="0" fontId="21" fillId="5" borderId="15" xfId="0" applyFont="1" applyFill="1" applyBorder="1" applyAlignment="1">
      <alignment horizontal="center" vertical="center"/>
    </xf>
    <xf numFmtId="0" fontId="14" fillId="0" borderId="15" xfId="0" applyFont="1" applyBorder="1" applyAlignment="1"/>
    <xf numFmtId="0" fontId="14" fillId="0" borderId="27" xfId="0" applyFont="1" applyBorder="1" applyAlignment="1"/>
    <xf numFmtId="0" fontId="14" fillId="0" borderId="0" xfId="0" applyFont="1" applyBorder="1"/>
    <xf numFmtId="0" fontId="21" fillId="0" borderId="25" xfId="0" applyFont="1" applyBorder="1" applyAlignment="1">
      <alignment wrapText="1"/>
    </xf>
    <xf numFmtId="0" fontId="21" fillId="0" borderId="0" xfId="0" applyFont="1" applyBorder="1" applyAlignment="1">
      <alignment wrapText="1"/>
    </xf>
    <xf numFmtId="0" fontId="21" fillId="0" borderId="25" xfId="0" applyFont="1" applyFill="1" applyBorder="1" applyAlignment="1">
      <alignment horizontal="left" wrapText="1"/>
    </xf>
    <xf numFmtId="0" fontId="21" fillId="0" borderId="0" xfId="0" applyFont="1" applyFill="1" applyBorder="1" applyAlignment="1">
      <alignment horizontal="left" wrapText="1"/>
    </xf>
    <xf numFmtId="0" fontId="7" fillId="0" borderId="0" xfId="0" applyFont="1" applyBorder="1" applyAlignment="1">
      <alignment horizontal="center"/>
    </xf>
    <xf numFmtId="0" fontId="1" fillId="0" borderId="23" xfId="0" applyFont="1" applyFill="1" applyBorder="1" applyAlignment="1">
      <alignment horizontal="center" vertical="center"/>
    </xf>
    <xf numFmtId="0" fontId="1" fillId="0" borderId="8" xfId="0" applyFont="1" applyFill="1" applyBorder="1" applyAlignment="1">
      <alignment horizontal="center" vertical="center"/>
    </xf>
    <xf numFmtId="0" fontId="8" fillId="0" borderId="25" xfId="0" applyFont="1" applyBorder="1" applyAlignment="1">
      <alignment horizontal="left"/>
    </xf>
    <xf numFmtId="0" fontId="8" fillId="0" borderId="0" xfId="0" applyFont="1" applyBorder="1" applyAlignment="1">
      <alignment horizontal="left"/>
    </xf>
    <xf numFmtId="0" fontId="15" fillId="0" borderId="0" xfId="0" applyFont="1" applyBorder="1"/>
    <xf numFmtId="0" fontId="21" fillId="5" borderId="26" xfId="0" applyFont="1" applyFill="1" applyBorder="1" applyAlignment="1">
      <alignment horizontal="center"/>
    </xf>
    <xf numFmtId="0" fontId="21" fillId="5" borderId="15" xfId="0" applyFont="1" applyFill="1" applyBorder="1" applyAlignment="1">
      <alignment horizontal="center"/>
    </xf>
    <xf numFmtId="0" fontId="14" fillId="0" borderId="0" xfId="0" applyFont="1" applyBorder="1" applyAlignment="1">
      <alignment horizontal="center" wrapText="1"/>
    </xf>
    <xf numFmtId="0" fontId="28" fillId="0" borderId="25" xfId="0" applyFont="1" applyBorder="1" applyAlignment="1">
      <alignment horizontal="left" wrapText="1"/>
    </xf>
    <xf numFmtId="0" fontId="28" fillId="0" borderId="0" xfId="0" applyFont="1" applyBorder="1" applyAlignment="1">
      <alignment horizontal="left" wrapText="1"/>
    </xf>
    <xf numFmtId="0" fontId="7" fillId="0" borderId="0" xfId="0" applyFont="1" applyBorder="1" applyAlignment="1">
      <alignment horizontal="right"/>
    </xf>
    <xf numFmtId="0" fontId="21" fillId="5" borderId="13" xfId="0" applyFont="1" applyFill="1" applyBorder="1" applyAlignment="1">
      <alignment horizontal="center" wrapText="1"/>
    </xf>
    <xf numFmtId="0" fontId="21" fillId="5" borderId="22" xfId="0" applyFont="1" applyFill="1" applyBorder="1" applyAlignment="1">
      <alignment horizontal="center" wrapText="1"/>
    </xf>
    <xf numFmtId="0" fontId="21" fillId="5" borderId="14" xfId="0" applyFont="1" applyFill="1" applyBorder="1" applyAlignment="1">
      <alignment horizontal="center" wrapText="1"/>
    </xf>
    <xf numFmtId="0" fontId="7" fillId="0" borderId="25" xfId="0" applyFont="1" applyBorder="1" applyAlignment="1">
      <alignment horizontal="left" wrapText="1"/>
    </xf>
    <xf numFmtId="0" fontId="7" fillId="0" borderId="0" xfId="0" applyFont="1" applyBorder="1" applyAlignment="1">
      <alignment horizontal="left" wrapText="1"/>
    </xf>
    <xf numFmtId="0" fontId="21" fillId="0" borderId="25" xfId="0" applyFont="1" applyBorder="1" applyAlignment="1">
      <alignment horizontal="left" wrapText="1"/>
    </xf>
    <xf numFmtId="0" fontId="21" fillId="0" borderId="0" xfId="0" applyFont="1" applyBorder="1" applyAlignment="1">
      <alignment horizontal="left" wrapText="1"/>
    </xf>
    <xf numFmtId="0" fontId="15" fillId="0" borderId="0" xfId="0" applyFont="1" applyFill="1" applyBorder="1" applyAlignment="1">
      <alignment horizontal="center" wrapText="1"/>
    </xf>
    <xf numFmtId="0" fontId="1" fillId="3" borderId="13" xfId="0" applyFont="1" applyFill="1" applyBorder="1" applyAlignment="1">
      <alignment horizontal="center" vertical="center"/>
    </xf>
    <xf numFmtId="0" fontId="1" fillId="3" borderId="14" xfId="0" applyFont="1" applyFill="1" applyBorder="1" applyAlignment="1">
      <alignment horizontal="center" vertical="center"/>
    </xf>
    <xf numFmtId="0" fontId="1" fillId="7" borderId="13" xfId="0" applyFont="1" applyFill="1" applyBorder="1" applyAlignment="1">
      <alignment horizontal="center" vertical="center"/>
    </xf>
    <xf numFmtId="0" fontId="1" fillId="7" borderId="14" xfId="0" applyFont="1" applyFill="1" applyBorder="1" applyAlignment="1">
      <alignment horizontal="center" vertical="center"/>
    </xf>
    <xf numFmtId="0" fontId="1" fillId="3" borderId="3" xfId="0" applyFont="1" applyFill="1" applyBorder="1" applyAlignment="1" applyProtection="1">
      <alignment horizontal="center"/>
      <protection locked="0" hidden="1"/>
    </xf>
    <xf numFmtId="0" fontId="1" fillId="3" borderId="7" xfId="0" applyFont="1" applyFill="1" applyBorder="1" applyAlignment="1" applyProtection="1">
      <alignment horizontal="center"/>
      <protection locked="0" hidden="1"/>
    </xf>
    <xf numFmtId="0" fontId="1" fillId="5" borderId="23"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24"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15" fillId="0" borderId="2" xfId="0" applyFont="1" applyBorder="1" applyAlignment="1">
      <alignment horizontal="center"/>
    </xf>
    <xf numFmtId="0" fontId="7" fillId="0" borderId="4" xfId="0" applyFont="1" applyBorder="1" applyAlignment="1">
      <alignment horizontal="left"/>
    </xf>
    <xf numFmtId="0" fontId="7" fillId="0" borderId="25" xfId="0" applyFont="1" applyBorder="1"/>
    <xf numFmtId="0" fontId="7" fillId="0" borderId="0" xfId="0" applyFont="1" applyBorder="1"/>
    <xf numFmtId="0" fontId="7" fillId="0" borderId="25" xfId="0" applyFont="1" applyBorder="1" applyAlignment="1">
      <alignment horizontal="right"/>
    </xf>
    <xf numFmtId="0" fontId="15" fillId="0" borderId="4" xfId="0" applyFont="1" applyBorder="1" applyAlignment="1">
      <alignment horizontal="center"/>
    </xf>
    <xf numFmtId="2" fontId="7" fillId="0" borderId="13" xfId="0" applyNumberFormat="1" applyFont="1" applyBorder="1" applyAlignment="1">
      <alignment horizontal="center" vertical="center"/>
    </xf>
    <xf numFmtId="2" fontId="7" fillId="0" borderId="14" xfId="0" applyNumberFormat="1" applyFont="1" applyBorder="1" applyAlignment="1">
      <alignment horizontal="center" vertical="center"/>
    </xf>
    <xf numFmtId="0" fontId="8" fillId="0" borderId="25" xfId="0" applyFont="1" applyBorder="1"/>
    <xf numFmtId="0" fontId="8" fillId="0" borderId="0" xfId="0" applyFont="1" applyBorder="1"/>
    <xf numFmtId="0" fontId="15" fillId="0" borderId="0" xfId="0" applyFont="1" applyFill="1" applyBorder="1" applyAlignment="1">
      <alignment horizontal="left" vertical="top"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21" fillId="0" borderId="25" xfId="0" applyFont="1" applyBorder="1" applyAlignment="1">
      <alignment horizontal="left" vertical="center" wrapText="1"/>
    </xf>
    <xf numFmtId="0" fontId="21" fillId="0" borderId="0" xfId="0" applyFont="1" applyBorder="1" applyAlignment="1">
      <alignment horizontal="left" vertical="center" wrapText="1"/>
    </xf>
    <xf numFmtId="0" fontId="15" fillId="0" borderId="0" xfId="0" applyFont="1" applyBorder="1" applyAlignment="1">
      <alignment horizontal="left" vertical="center" wrapText="1"/>
    </xf>
    <xf numFmtId="0" fontId="20" fillId="15" borderId="21" xfId="5" applyFont="1" applyAlignment="1">
      <alignment horizontal="center"/>
    </xf>
    <xf numFmtId="0" fontId="21" fillId="10" borderId="31" xfId="0" applyFont="1" applyFill="1" applyBorder="1" applyAlignment="1">
      <alignment horizontal="center" vertical="center" wrapText="1"/>
    </xf>
    <xf numFmtId="0" fontId="21" fillId="10" borderId="19" xfId="0" applyFont="1" applyFill="1" applyBorder="1" applyAlignment="1">
      <alignment horizontal="center" vertical="center" wrapText="1"/>
    </xf>
    <xf numFmtId="0" fontId="14" fillId="10" borderId="11" xfId="0" applyFont="1" applyFill="1" applyBorder="1" applyAlignment="1">
      <alignment horizontal="center" vertical="center" wrapText="1"/>
    </xf>
    <xf numFmtId="0" fontId="14" fillId="10" borderId="12" xfId="0" applyFont="1" applyFill="1" applyBorder="1" applyAlignment="1">
      <alignment horizontal="center" vertical="center" wrapText="1"/>
    </xf>
    <xf numFmtId="0" fontId="7" fillId="0" borderId="5"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17" xfId="0" applyFont="1" applyBorder="1" applyAlignment="1">
      <alignment vertical="center" wrapText="1"/>
    </xf>
    <xf numFmtId="0" fontId="14" fillId="0" borderId="18" xfId="0" applyFont="1" applyBorder="1" applyAlignment="1">
      <alignment vertical="center" wrapText="1"/>
    </xf>
    <xf numFmtId="165" fontId="20" fillId="15" borderId="21" xfId="5" applyNumberFormat="1" applyFont="1" applyAlignment="1">
      <alignment horizontal="center"/>
    </xf>
    <xf numFmtId="0" fontId="0" fillId="10" borderId="3" xfId="0" applyFill="1" applyBorder="1" applyAlignment="1">
      <alignment horizontal="center"/>
    </xf>
    <xf numFmtId="0" fontId="17" fillId="10" borderId="3" xfId="0" applyFont="1" applyFill="1" applyBorder="1" applyAlignment="1">
      <alignment horizontal="center"/>
    </xf>
    <xf numFmtId="0" fontId="0" fillId="10" borderId="13" xfId="0" applyFill="1" applyBorder="1" applyAlignment="1">
      <alignment horizontal="right"/>
    </xf>
    <xf numFmtId="0" fontId="0" fillId="10" borderId="22" xfId="0" applyFill="1" applyBorder="1" applyAlignment="1">
      <alignment horizontal="right"/>
    </xf>
    <xf numFmtId="0" fontId="33" fillId="0" borderId="0"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33" fillId="0" borderId="9" xfId="0" applyFont="1" applyFill="1" applyBorder="1" applyAlignment="1">
      <alignment horizontal="center" vertical="center" wrapText="1"/>
    </xf>
    <xf numFmtId="0" fontId="15" fillId="0" borderId="0" xfId="0" applyFont="1" applyBorder="1" applyAlignment="1">
      <alignment horizontal="center" wrapText="1"/>
    </xf>
    <xf numFmtId="0" fontId="7" fillId="5" borderId="16" xfId="0" applyFont="1" applyFill="1" applyBorder="1" applyAlignment="1">
      <alignment horizontal="center"/>
    </xf>
    <xf numFmtId="0" fontId="7" fillId="5" borderId="6" xfId="0" applyFont="1" applyFill="1" applyBorder="1" applyAlignment="1">
      <alignment horizontal="center"/>
    </xf>
    <xf numFmtId="0" fontId="7" fillId="5" borderId="30" xfId="0" applyFont="1" applyFill="1" applyBorder="1" applyAlignment="1">
      <alignment horizontal="center"/>
    </xf>
    <xf numFmtId="0" fontId="21" fillId="0" borderId="0" xfId="0" applyFont="1" applyBorder="1" applyAlignment="1">
      <alignment horizontal="center" wrapText="1"/>
    </xf>
    <xf numFmtId="166" fontId="0" fillId="0" borderId="0" xfId="0" applyNumberFormat="1" applyAlignment="1">
      <alignment horizontal="left" vertical="top" wrapText="1"/>
    </xf>
  </cellXfs>
  <cellStyles count="6">
    <cellStyle name="Calculation" xfId="4" builtinId="22"/>
    <cellStyle name="Check Cell" xfId="5" builtinId="23"/>
    <cellStyle name="Normal" xfId="0" builtinId="0"/>
    <cellStyle name="Normal 2" xfId="1"/>
    <cellStyle name="Normal 8" xfId="2"/>
    <cellStyle name="Normal 9" xfId="3"/>
  </cellStyles>
  <dxfs count="45">
    <dxf>
      <font>
        <color theme="1" tint="0.34998626667073579"/>
      </font>
      <fill>
        <patternFill>
          <bgColor theme="1" tint="0.34998626667073579"/>
        </patternFill>
      </fill>
    </dxf>
    <dxf>
      <font>
        <b val="0"/>
        <i/>
        <color theme="1" tint="0.499984740745262"/>
      </font>
    </dxf>
    <dxf>
      <font>
        <color theme="1" tint="0.34998626667073579"/>
      </font>
      <fill>
        <patternFill>
          <bgColor theme="1" tint="0.34998626667073579"/>
        </patternFill>
      </fill>
    </dxf>
    <dxf>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val="0"/>
        <i/>
        <color theme="1" tint="0.499984740745262"/>
      </font>
    </dxf>
    <dxf>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rgb="FFFF0000"/>
      </font>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color theme="1" tint="0.34998626667073579"/>
      </font>
      <fill>
        <patternFill>
          <bgColor theme="1" tint="0.34998626667073579"/>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ont>
        <color rgb="FFFF000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ndense val="0"/>
        <extend val="0"/>
        <color indexed="10"/>
      </font>
      <fill>
        <patternFill>
          <bgColor indexed="13"/>
        </patternFill>
      </fill>
    </dxf>
  </dxfs>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g"/><Relationship Id="rId4" Type="http://schemas.openxmlformats.org/officeDocument/2006/relationships/image" Target="../media/image4.tiff"/></Relationships>
</file>

<file path=xl/drawings/drawing1.xml><?xml version="1.0" encoding="utf-8"?>
<xdr:wsDr xmlns:xdr="http://schemas.openxmlformats.org/drawingml/2006/spreadsheetDrawing" xmlns:a="http://schemas.openxmlformats.org/drawingml/2006/main">
  <xdr:twoCellAnchor>
    <xdr:from>
      <xdr:col>9</xdr:col>
      <xdr:colOff>9524</xdr:colOff>
      <xdr:row>104</xdr:row>
      <xdr:rowOff>4763</xdr:rowOff>
    </xdr:from>
    <xdr:to>
      <xdr:col>9</xdr:col>
      <xdr:colOff>559593</xdr:colOff>
      <xdr:row>105</xdr:row>
      <xdr:rowOff>185738</xdr:rowOff>
    </xdr:to>
    <xdr:sp macro="" textlink="">
      <xdr:nvSpPr>
        <xdr:cNvPr id="92" name="Rectangle 91"/>
        <xdr:cNvSpPr/>
      </xdr:nvSpPr>
      <xdr:spPr>
        <a:xfrm>
          <a:off x="4914899" y="22188488"/>
          <a:ext cx="550069" cy="381000"/>
        </a:xfrm>
        <a:prstGeom prst="rect">
          <a:avLst/>
        </a:prstGeom>
        <a:blipFill dpi="0" rotWithShape="1">
          <a:blip xmlns:r="http://schemas.openxmlformats.org/officeDocument/2006/relationships" r:embed="rId1" cstate="print"/>
          <a:srcRec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3</xdr:col>
      <xdr:colOff>33618</xdr:colOff>
      <xdr:row>101</xdr:row>
      <xdr:rowOff>105894</xdr:rowOff>
    </xdr:from>
    <xdr:ext cx="1232646" cy="454400"/>
    <xdr:sp macro="" textlink="">
      <xdr:nvSpPr>
        <xdr:cNvPr id="27" name="TextBox 26"/>
        <xdr:cNvSpPr txBox="1"/>
      </xdr:nvSpPr>
      <xdr:spPr>
        <a:xfrm>
          <a:off x="1400736" y="19626541"/>
          <a:ext cx="1232646" cy="454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100"/>
            <a:t>Transverse Slope (1% </a:t>
          </a:r>
          <a:r>
            <a:rPr lang="en-US" sz="1100" baseline="0"/>
            <a:t>min)</a:t>
          </a:r>
          <a:endParaRPr lang="en-US" sz="1100"/>
        </a:p>
      </xdr:txBody>
    </xdr:sp>
    <xdr:clientData/>
  </xdr:oneCellAnchor>
  <xdr:twoCellAnchor>
    <xdr:from>
      <xdr:col>1</xdr:col>
      <xdr:colOff>266700</xdr:colOff>
      <xdr:row>103</xdr:row>
      <xdr:rowOff>0</xdr:rowOff>
    </xdr:from>
    <xdr:to>
      <xdr:col>3</xdr:col>
      <xdr:colOff>9525</xdr:colOff>
      <xdr:row>103</xdr:row>
      <xdr:rowOff>190500</xdr:rowOff>
    </xdr:to>
    <xdr:cxnSp macro="">
      <xdr:nvCxnSpPr>
        <xdr:cNvPr id="9" name="Straight Connector 8"/>
        <xdr:cNvCxnSpPr/>
      </xdr:nvCxnSpPr>
      <xdr:spPr>
        <a:xfrm>
          <a:off x="266700" y="21983700"/>
          <a:ext cx="1114425" cy="190500"/>
        </a:xfrm>
        <a:prstGeom prst="line">
          <a:avLst/>
        </a:prstGeom>
        <a:ln w="2540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103</xdr:row>
      <xdr:rowOff>19052</xdr:rowOff>
    </xdr:from>
    <xdr:to>
      <xdr:col>6</xdr:col>
      <xdr:colOff>295275</xdr:colOff>
      <xdr:row>103</xdr:row>
      <xdr:rowOff>195263</xdr:rowOff>
    </xdr:to>
    <xdr:cxnSp macro="">
      <xdr:nvCxnSpPr>
        <xdr:cNvPr id="11" name="Straight Connector 10"/>
        <xdr:cNvCxnSpPr/>
      </xdr:nvCxnSpPr>
      <xdr:spPr>
        <a:xfrm flipV="1">
          <a:off x="2838450" y="22002752"/>
          <a:ext cx="876300" cy="176211"/>
        </a:xfrm>
        <a:prstGeom prst="line">
          <a:avLst/>
        </a:prstGeom>
        <a:ln w="2540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654845</xdr:colOff>
      <xdr:row>103</xdr:row>
      <xdr:rowOff>176212</xdr:rowOff>
    </xdr:from>
    <xdr:to>
      <xdr:col>3</xdr:col>
      <xdr:colOff>3</xdr:colOff>
      <xdr:row>106</xdr:row>
      <xdr:rowOff>7144</xdr:rowOff>
    </xdr:to>
    <xdr:cxnSp macro="">
      <xdr:nvCxnSpPr>
        <xdr:cNvPr id="22" name="Straight Connector 21"/>
        <xdr:cNvCxnSpPr/>
      </xdr:nvCxnSpPr>
      <xdr:spPr>
        <a:xfrm rot="5400000">
          <a:off x="2574133" y="24517349"/>
          <a:ext cx="431007" cy="2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595313</xdr:colOff>
      <xdr:row>106</xdr:row>
      <xdr:rowOff>9525</xdr:rowOff>
    </xdr:from>
    <xdr:to>
      <xdr:col>5</xdr:col>
      <xdr:colOff>0</xdr:colOff>
      <xdr:row>106</xdr:row>
      <xdr:rowOff>14289</xdr:rowOff>
    </xdr:to>
    <xdr:cxnSp macro="">
      <xdr:nvCxnSpPr>
        <xdr:cNvPr id="24" name="Straight Connector 23"/>
        <xdr:cNvCxnSpPr/>
      </xdr:nvCxnSpPr>
      <xdr:spPr>
        <a:xfrm flipV="1">
          <a:off x="1357313" y="22593300"/>
          <a:ext cx="1452562"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9526</xdr:colOff>
      <xdr:row>103</xdr:row>
      <xdr:rowOff>176213</xdr:rowOff>
    </xdr:from>
    <xdr:to>
      <xdr:col>5</xdr:col>
      <xdr:colOff>9526</xdr:colOff>
      <xdr:row>106</xdr:row>
      <xdr:rowOff>9419</xdr:rowOff>
    </xdr:to>
    <xdr:cxnSp macro="">
      <xdr:nvCxnSpPr>
        <xdr:cNvPr id="26" name="Straight Connector 25"/>
        <xdr:cNvCxnSpPr/>
      </xdr:nvCxnSpPr>
      <xdr:spPr>
        <a:xfrm rot="5400000">
          <a:off x="2602760" y="22376554"/>
          <a:ext cx="43328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491219</xdr:colOff>
      <xdr:row>105</xdr:row>
      <xdr:rowOff>908</xdr:rowOff>
    </xdr:from>
    <xdr:ext cx="1304924" cy="498020"/>
    <xdr:sp macro="" textlink="">
      <xdr:nvSpPr>
        <xdr:cNvPr id="46" name="TextBox 45"/>
        <xdr:cNvSpPr txBox="1"/>
      </xdr:nvSpPr>
      <xdr:spPr>
        <a:xfrm>
          <a:off x="3462112" y="22350640"/>
          <a:ext cx="1304924" cy="498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solidFill>
                <a:schemeClr val="tx1"/>
              </a:solidFill>
              <a:latin typeface="+mn-lt"/>
              <a:ea typeface="+mn-ea"/>
              <a:cs typeface="+mn-cs"/>
            </a:rPr>
            <a:t>AASHTO No. 2</a:t>
          </a:r>
        </a:p>
        <a:p>
          <a:r>
            <a:rPr lang="en-US" sz="1100">
              <a:solidFill>
                <a:schemeClr val="tx1"/>
              </a:solidFill>
              <a:latin typeface="+mn-lt"/>
              <a:ea typeface="+mn-ea"/>
              <a:cs typeface="+mn-cs"/>
            </a:rPr>
            <a:t>Coarse aggregate </a:t>
          </a:r>
          <a:endParaRPr lang="en-US" sz="1100"/>
        </a:p>
      </xdr:txBody>
    </xdr:sp>
    <xdr:clientData/>
  </xdr:oneCellAnchor>
  <xdr:twoCellAnchor>
    <xdr:from>
      <xdr:col>2</xdr:col>
      <xdr:colOff>200025</xdr:colOff>
      <xdr:row>104</xdr:row>
      <xdr:rowOff>1</xdr:rowOff>
    </xdr:from>
    <xdr:to>
      <xdr:col>2</xdr:col>
      <xdr:colOff>600077</xdr:colOff>
      <xdr:row>104</xdr:row>
      <xdr:rowOff>4766</xdr:rowOff>
    </xdr:to>
    <xdr:cxnSp macro="">
      <xdr:nvCxnSpPr>
        <xdr:cNvPr id="50" name="Straight Connector 49"/>
        <xdr:cNvCxnSpPr/>
      </xdr:nvCxnSpPr>
      <xdr:spPr>
        <a:xfrm rot="10800000">
          <a:off x="2181225" y="20326351"/>
          <a:ext cx="400052" cy="476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195263</xdr:colOff>
      <xdr:row>106</xdr:row>
      <xdr:rowOff>9526</xdr:rowOff>
    </xdr:from>
    <xdr:to>
      <xdr:col>2</xdr:col>
      <xdr:colOff>600076</xdr:colOff>
      <xdr:row>106</xdr:row>
      <xdr:rowOff>14289</xdr:rowOff>
    </xdr:to>
    <xdr:cxnSp macro="">
      <xdr:nvCxnSpPr>
        <xdr:cNvPr id="52" name="Straight Connector 51"/>
        <xdr:cNvCxnSpPr/>
      </xdr:nvCxnSpPr>
      <xdr:spPr>
        <a:xfrm rot="10800000">
          <a:off x="2176463" y="20735926"/>
          <a:ext cx="404813" cy="476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389731</xdr:colOff>
      <xdr:row>105</xdr:row>
      <xdr:rowOff>96044</xdr:rowOff>
    </xdr:from>
    <xdr:to>
      <xdr:col>2</xdr:col>
      <xdr:colOff>391319</xdr:colOff>
      <xdr:row>106</xdr:row>
      <xdr:rowOff>29369</xdr:rowOff>
    </xdr:to>
    <xdr:cxnSp macro="">
      <xdr:nvCxnSpPr>
        <xdr:cNvPr id="55" name="Straight Arrow Connector 54"/>
        <xdr:cNvCxnSpPr/>
      </xdr:nvCxnSpPr>
      <xdr:spPr>
        <a:xfrm rot="5400000">
          <a:off x="2305050" y="20688300"/>
          <a:ext cx="133350"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384970</xdr:colOff>
      <xdr:row>103</xdr:row>
      <xdr:rowOff>191294</xdr:rowOff>
    </xdr:from>
    <xdr:to>
      <xdr:col>2</xdr:col>
      <xdr:colOff>386558</xdr:colOff>
      <xdr:row>104</xdr:row>
      <xdr:rowOff>148134</xdr:rowOff>
    </xdr:to>
    <xdr:cxnSp macro="">
      <xdr:nvCxnSpPr>
        <xdr:cNvPr id="57" name="Straight Arrow Connector 56"/>
        <xdr:cNvCxnSpPr/>
      </xdr:nvCxnSpPr>
      <xdr:spPr>
        <a:xfrm rot="5400000" flipH="1" flipV="1">
          <a:off x="2288382" y="20395407"/>
          <a:ext cx="157163"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490538</xdr:colOff>
      <xdr:row>104</xdr:row>
      <xdr:rowOff>76201</xdr:rowOff>
    </xdr:from>
    <xdr:ext cx="713949" cy="236215"/>
    <xdr:sp macro="" textlink="">
      <xdr:nvSpPr>
        <xdr:cNvPr id="58" name="TextBox 57"/>
        <xdr:cNvSpPr txBox="1"/>
      </xdr:nvSpPr>
      <xdr:spPr>
        <a:xfrm>
          <a:off x="1862138" y="20402551"/>
          <a:ext cx="7207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24"</a:t>
          </a:r>
          <a:r>
            <a:rPr lang="en-US" sz="1100" baseline="0"/>
            <a:t> (min)</a:t>
          </a:r>
          <a:endParaRPr lang="en-US" sz="1100"/>
        </a:p>
      </xdr:txBody>
    </xdr:sp>
    <xdr:clientData/>
  </xdr:oneCellAnchor>
  <xdr:twoCellAnchor>
    <xdr:from>
      <xdr:col>2</xdr:col>
      <xdr:colOff>654845</xdr:colOff>
      <xdr:row>106</xdr:row>
      <xdr:rowOff>23813</xdr:rowOff>
    </xdr:from>
    <xdr:to>
      <xdr:col>3</xdr:col>
      <xdr:colOff>2382</xdr:colOff>
      <xdr:row>107</xdr:row>
      <xdr:rowOff>100013</xdr:rowOff>
    </xdr:to>
    <xdr:cxnSp macro="">
      <xdr:nvCxnSpPr>
        <xdr:cNvPr id="60" name="Straight Connector 59"/>
        <xdr:cNvCxnSpPr/>
      </xdr:nvCxnSpPr>
      <xdr:spPr>
        <a:xfrm rot="5400000">
          <a:off x="2652713" y="24886445"/>
          <a:ext cx="276225" cy="476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9526</xdr:colOff>
      <xdr:row>106</xdr:row>
      <xdr:rowOff>33338</xdr:rowOff>
    </xdr:from>
    <xdr:to>
      <xdr:col>5</xdr:col>
      <xdr:colOff>9526</xdr:colOff>
      <xdr:row>107</xdr:row>
      <xdr:rowOff>95250</xdr:rowOff>
    </xdr:to>
    <xdr:cxnSp macro="">
      <xdr:nvCxnSpPr>
        <xdr:cNvPr id="62" name="Straight Connector 61"/>
        <xdr:cNvCxnSpPr/>
      </xdr:nvCxnSpPr>
      <xdr:spPr>
        <a:xfrm rot="5400000">
          <a:off x="2688432" y="22748082"/>
          <a:ext cx="2619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652463</xdr:colOff>
      <xdr:row>106</xdr:row>
      <xdr:rowOff>180057</xdr:rowOff>
    </xdr:from>
    <xdr:to>
      <xdr:col>3</xdr:col>
      <xdr:colOff>395288</xdr:colOff>
      <xdr:row>106</xdr:row>
      <xdr:rowOff>180974</xdr:rowOff>
    </xdr:to>
    <xdr:cxnSp macro="">
      <xdr:nvCxnSpPr>
        <xdr:cNvPr id="64" name="Straight Arrow Connector 63"/>
        <xdr:cNvCxnSpPr>
          <a:stCxn id="67" idx="1"/>
        </xdr:cNvCxnSpPr>
      </xdr:nvCxnSpPr>
      <xdr:spPr>
        <a:xfrm rot="10800000" flipV="1">
          <a:off x="2786063" y="24906957"/>
          <a:ext cx="400050" cy="91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230238</xdr:colOff>
      <xdr:row>106</xdr:row>
      <xdr:rowOff>179905</xdr:rowOff>
    </xdr:from>
    <xdr:to>
      <xdr:col>5</xdr:col>
      <xdr:colOff>4763</xdr:colOff>
      <xdr:row>106</xdr:row>
      <xdr:rowOff>180975</xdr:rowOff>
    </xdr:to>
    <xdr:cxnSp macro="">
      <xdr:nvCxnSpPr>
        <xdr:cNvPr id="66" name="Straight Arrow Connector 65"/>
        <xdr:cNvCxnSpPr/>
      </xdr:nvCxnSpPr>
      <xdr:spPr>
        <a:xfrm>
          <a:off x="2430513" y="22763680"/>
          <a:ext cx="384125" cy="107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395288</xdr:colOff>
      <xdr:row>106</xdr:row>
      <xdr:rowOff>66675</xdr:rowOff>
    </xdr:from>
    <xdr:ext cx="713322" cy="236215"/>
    <xdr:sp macro="" textlink="">
      <xdr:nvSpPr>
        <xdr:cNvPr id="67" name="TextBox 66"/>
        <xdr:cNvSpPr txBox="1"/>
      </xdr:nvSpPr>
      <xdr:spPr>
        <a:xfrm>
          <a:off x="2986088" y="20793075"/>
          <a:ext cx="7207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48" (min)</a:t>
          </a:r>
        </a:p>
      </xdr:txBody>
    </xdr:sp>
    <xdr:clientData/>
  </xdr:oneCellAnchor>
  <xdr:twoCellAnchor>
    <xdr:from>
      <xdr:col>3</xdr:col>
      <xdr:colOff>23813</xdr:colOff>
      <xdr:row>103</xdr:row>
      <xdr:rowOff>195263</xdr:rowOff>
    </xdr:from>
    <xdr:to>
      <xdr:col>5</xdr:col>
      <xdr:colOff>0</xdr:colOff>
      <xdr:row>105</xdr:row>
      <xdr:rowOff>200023</xdr:rowOff>
    </xdr:to>
    <xdr:sp macro="" textlink="">
      <xdr:nvSpPr>
        <xdr:cNvPr id="30" name="Rectangle 29"/>
        <xdr:cNvSpPr/>
      </xdr:nvSpPr>
      <xdr:spPr>
        <a:xfrm>
          <a:off x="1395413" y="21940838"/>
          <a:ext cx="1414462" cy="404810"/>
        </a:xfrm>
        <a:prstGeom prst="rect">
          <a:avLst/>
        </a:prstGeom>
        <a:blipFill dpi="0" rotWithShape="1">
          <a:blip xmlns:r="http://schemas.openxmlformats.org/officeDocument/2006/relationships" r:embed="rId1" cstate="print"/>
          <a:srcRec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xdr:col>
      <xdr:colOff>173832</xdr:colOff>
      <xdr:row>102</xdr:row>
      <xdr:rowOff>133350</xdr:rowOff>
    </xdr:from>
    <xdr:to>
      <xdr:col>3</xdr:col>
      <xdr:colOff>133350</xdr:colOff>
      <xdr:row>103</xdr:row>
      <xdr:rowOff>78581</xdr:rowOff>
    </xdr:to>
    <xdr:cxnSp macro="">
      <xdr:nvCxnSpPr>
        <xdr:cNvPr id="38" name="Straight Arrow Connector 37"/>
        <xdr:cNvCxnSpPr/>
      </xdr:nvCxnSpPr>
      <xdr:spPr>
        <a:xfrm rot="10800000" flipV="1">
          <a:off x="935832" y="21917025"/>
          <a:ext cx="569118" cy="14525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259556</xdr:colOff>
      <xdr:row>103</xdr:row>
      <xdr:rowOff>195263</xdr:rowOff>
    </xdr:from>
    <xdr:to>
      <xdr:col>9</xdr:col>
      <xdr:colOff>0</xdr:colOff>
      <xdr:row>104</xdr:row>
      <xdr:rowOff>0</xdr:rowOff>
    </xdr:to>
    <xdr:cxnSp macro="">
      <xdr:nvCxnSpPr>
        <xdr:cNvPr id="40" name="Straight Connector 39"/>
        <xdr:cNvCxnSpPr/>
      </xdr:nvCxnSpPr>
      <xdr:spPr>
        <a:xfrm>
          <a:off x="4288631" y="21997988"/>
          <a:ext cx="616744" cy="4762"/>
        </a:xfrm>
        <a:prstGeom prst="line">
          <a:avLst/>
        </a:prstGeom>
        <a:ln w="2540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104</xdr:row>
      <xdr:rowOff>4762</xdr:rowOff>
    </xdr:from>
    <xdr:to>
      <xdr:col>9</xdr:col>
      <xdr:colOff>4763</xdr:colOff>
      <xdr:row>105</xdr:row>
      <xdr:rowOff>200024</xdr:rowOff>
    </xdr:to>
    <xdr:cxnSp macro="">
      <xdr:nvCxnSpPr>
        <xdr:cNvPr id="43" name="Straight Connector 42"/>
        <xdr:cNvCxnSpPr/>
      </xdr:nvCxnSpPr>
      <xdr:spPr>
        <a:xfrm rot="16200000" flipH="1">
          <a:off x="4710113" y="22383749"/>
          <a:ext cx="395287"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105</xdr:row>
      <xdr:rowOff>195263</xdr:rowOff>
    </xdr:from>
    <xdr:to>
      <xdr:col>9</xdr:col>
      <xdr:colOff>566738</xdr:colOff>
      <xdr:row>106</xdr:row>
      <xdr:rowOff>4763</xdr:rowOff>
    </xdr:to>
    <xdr:cxnSp macro="">
      <xdr:nvCxnSpPr>
        <xdr:cNvPr id="47" name="Straight Connector 46"/>
        <xdr:cNvCxnSpPr/>
      </xdr:nvCxnSpPr>
      <xdr:spPr>
        <a:xfrm>
          <a:off x="4905375" y="22579013"/>
          <a:ext cx="566738"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566739</xdr:colOff>
      <xdr:row>104</xdr:row>
      <xdr:rowOff>0</xdr:rowOff>
    </xdr:from>
    <xdr:to>
      <xdr:col>9</xdr:col>
      <xdr:colOff>571501</xdr:colOff>
      <xdr:row>106</xdr:row>
      <xdr:rowOff>4763</xdr:rowOff>
    </xdr:to>
    <xdr:cxnSp macro="">
      <xdr:nvCxnSpPr>
        <xdr:cNvPr id="53" name="Straight Connector 52"/>
        <xdr:cNvCxnSpPr/>
      </xdr:nvCxnSpPr>
      <xdr:spPr>
        <a:xfrm rot="16200000" flipV="1">
          <a:off x="5272088" y="22383751"/>
          <a:ext cx="404813" cy="476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564356</xdr:colOff>
      <xdr:row>104</xdr:row>
      <xdr:rowOff>0</xdr:rowOff>
    </xdr:from>
    <xdr:to>
      <xdr:col>10</xdr:col>
      <xdr:colOff>314325</xdr:colOff>
      <xdr:row>104</xdr:row>
      <xdr:rowOff>2382</xdr:rowOff>
    </xdr:to>
    <xdr:cxnSp macro="">
      <xdr:nvCxnSpPr>
        <xdr:cNvPr id="56" name="Straight Connector 55"/>
        <xdr:cNvCxnSpPr/>
      </xdr:nvCxnSpPr>
      <xdr:spPr>
        <a:xfrm flipV="1">
          <a:off x="5469731" y="22002750"/>
          <a:ext cx="597694" cy="2382"/>
        </a:xfrm>
        <a:prstGeom prst="line">
          <a:avLst/>
        </a:prstGeom>
        <a:ln w="2540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106</xdr:row>
      <xdr:rowOff>16670</xdr:rowOff>
    </xdr:from>
    <xdr:to>
      <xdr:col>9</xdr:col>
      <xdr:colOff>2383</xdr:colOff>
      <xdr:row>107</xdr:row>
      <xdr:rowOff>100017</xdr:rowOff>
    </xdr:to>
    <xdr:cxnSp macro="">
      <xdr:nvCxnSpPr>
        <xdr:cNvPr id="69" name="Straight Connector 68"/>
        <xdr:cNvCxnSpPr/>
      </xdr:nvCxnSpPr>
      <xdr:spPr>
        <a:xfrm rot="5400000">
          <a:off x="4764881" y="22740939"/>
          <a:ext cx="283372" cy="2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571500</xdr:colOff>
      <xdr:row>106</xdr:row>
      <xdr:rowOff>19051</xdr:rowOff>
    </xdr:from>
    <xdr:to>
      <xdr:col>9</xdr:col>
      <xdr:colOff>573883</xdr:colOff>
      <xdr:row>107</xdr:row>
      <xdr:rowOff>102398</xdr:rowOff>
    </xdr:to>
    <xdr:cxnSp macro="">
      <xdr:nvCxnSpPr>
        <xdr:cNvPr id="76" name="Straight Connector 75"/>
        <xdr:cNvCxnSpPr/>
      </xdr:nvCxnSpPr>
      <xdr:spPr>
        <a:xfrm rot="5400000">
          <a:off x="5336381" y="22743320"/>
          <a:ext cx="283372" cy="238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4763</xdr:colOff>
      <xdr:row>106</xdr:row>
      <xdr:rowOff>154781</xdr:rowOff>
    </xdr:from>
    <xdr:to>
      <xdr:col>9</xdr:col>
      <xdr:colOff>569121</xdr:colOff>
      <xdr:row>106</xdr:row>
      <xdr:rowOff>157165</xdr:rowOff>
    </xdr:to>
    <xdr:cxnSp macro="">
      <xdr:nvCxnSpPr>
        <xdr:cNvPr id="78" name="Straight Arrow Connector 77"/>
        <xdr:cNvCxnSpPr/>
      </xdr:nvCxnSpPr>
      <xdr:spPr>
        <a:xfrm rot="10800000">
          <a:off x="4910138" y="22738556"/>
          <a:ext cx="564358" cy="2384"/>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552450</xdr:colOff>
      <xdr:row>107</xdr:row>
      <xdr:rowOff>19051</xdr:rowOff>
    </xdr:from>
    <xdr:ext cx="697298" cy="236215"/>
    <xdr:sp macro="" textlink="">
      <xdr:nvSpPr>
        <xdr:cNvPr id="81" name="TextBox 80"/>
        <xdr:cNvSpPr txBox="1"/>
      </xdr:nvSpPr>
      <xdr:spPr>
        <a:xfrm>
          <a:off x="4848225" y="22802851"/>
          <a:ext cx="7207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18" (min)</a:t>
          </a:r>
        </a:p>
      </xdr:txBody>
    </xdr:sp>
    <xdr:clientData/>
  </xdr:oneCellAnchor>
  <xdr:twoCellAnchor>
    <xdr:from>
      <xdr:col>9</xdr:col>
      <xdr:colOff>578645</xdr:colOff>
      <xdr:row>104</xdr:row>
      <xdr:rowOff>0</xdr:rowOff>
    </xdr:from>
    <xdr:to>
      <xdr:col>10</xdr:col>
      <xdr:colOff>7147</xdr:colOff>
      <xdr:row>104</xdr:row>
      <xdr:rowOff>0</xdr:rowOff>
    </xdr:to>
    <xdr:cxnSp macro="">
      <xdr:nvCxnSpPr>
        <xdr:cNvPr id="83" name="Straight Connector 82"/>
        <xdr:cNvCxnSpPr/>
      </xdr:nvCxnSpPr>
      <xdr:spPr>
        <a:xfrm rot="10800000">
          <a:off x="5484020" y="22183725"/>
          <a:ext cx="27622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583407</xdr:colOff>
      <xdr:row>106</xdr:row>
      <xdr:rowOff>1</xdr:rowOff>
    </xdr:from>
    <xdr:to>
      <xdr:col>10</xdr:col>
      <xdr:colOff>0</xdr:colOff>
      <xdr:row>106</xdr:row>
      <xdr:rowOff>2382</xdr:rowOff>
    </xdr:to>
    <xdr:cxnSp macro="">
      <xdr:nvCxnSpPr>
        <xdr:cNvPr id="86" name="Straight Connector 85"/>
        <xdr:cNvCxnSpPr/>
      </xdr:nvCxnSpPr>
      <xdr:spPr>
        <a:xfrm rot="10800000">
          <a:off x="5488782" y="22583776"/>
          <a:ext cx="264318" cy="238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704850</xdr:colOff>
      <xdr:row>103</xdr:row>
      <xdr:rowOff>197643</xdr:rowOff>
    </xdr:from>
    <xdr:to>
      <xdr:col>9</xdr:col>
      <xdr:colOff>709613</xdr:colOff>
      <xdr:row>105</xdr:row>
      <xdr:rowOff>197642</xdr:rowOff>
    </xdr:to>
    <xdr:cxnSp macro="">
      <xdr:nvCxnSpPr>
        <xdr:cNvPr id="89" name="Straight Arrow Connector 88"/>
        <xdr:cNvCxnSpPr/>
      </xdr:nvCxnSpPr>
      <xdr:spPr>
        <a:xfrm rot="16200000" flipH="1">
          <a:off x="5412582" y="22378986"/>
          <a:ext cx="400049" cy="4763"/>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647699</xdr:colOff>
      <xdr:row>104</xdr:row>
      <xdr:rowOff>61912</xdr:rowOff>
    </xdr:from>
    <xdr:ext cx="701636" cy="236215"/>
    <xdr:sp macro="" textlink="">
      <xdr:nvSpPr>
        <xdr:cNvPr id="91" name="TextBox 90"/>
        <xdr:cNvSpPr txBox="1"/>
      </xdr:nvSpPr>
      <xdr:spPr>
        <a:xfrm>
          <a:off x="5553074" y="22245637"/>
          <a:ext cx="7207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24" (min)</a:t>
          </a:r>
        </a:p>
      </xdr:txBody>
    </xdr:sp>
    <xdr:clientData/>
  </xdr:oneCellAnchor>
  <xdr:twoCellAnchor>
    <xdr:from>
      <xdr:col>4</xdr:col>
      <xdr:colOff>338150</xdr:colOff>
      <xdr:row>105</xdr:row>
      <xdr:rowOff>28586</xdr:rowOff>
    </xdr:from>
    <xdr:to>
      <xdr:col>5</xdr:col>
      <xdr:colOff>457200</xdr:colOff>
      <xdr:row>105</xdr:row>
      <xdr:rowOff>171451</xdr:rowOff>
    </xdr:to>
    <xdr:cxnSp macro="">
      <xdr:nvCxnSpPr>
        <xdr:cNvPr id="48" name="Straight Arrow Connector 47"/>
        <xdr:cNvCxnSpPr/>
      </xdr:nvCxnSpPr>
      <xdr:spPr>
        <a:xfrm rot="10800000">
          <a:off x="2538425" y="22412336"/>
          <a:ext cx="728650" cy="14286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219075</xdr:colOff>
      <xdr:row>104</xdr:row>
      <xdr:rowOff>185740</xdr:rowOff>
    </xdr:from>
    <xdr:to>
      <xdr:col>9</xdr:col>
      <xdr:colOff>214313</xdr:colOff>
      <xdr:row>105</xdr:row>
      <xdr:rowOff>171450</xdr:rowOff>
    </xdr:to>
    <xdr:cxnSp macro="">
      <xdr:nvCxnSpPr>
        <xdr:cNvPr id="94" name="Straight Arrow Connector 93"/>
        <xdr:cNvCxnSpPr/>
      </xdr:nvCxnSpPr>
      <xdr:spPr>
        <a:xfrm flipV="1">
          <a:off x="4248150" y="22369465"/>
          <a:ext cx="871538" cy="18573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314325</xdr:colOff>
      <xdr:row>102</xdr:row>
      <xdr:rowOff>152400</xdr:rowOff>
    </xdr:from>
    <xdr:to>
      <xdr:col>5</xdr:col>
      <xdr:colOff>533400</xdr:colOff>
      <xdr:row>103</xdr:row>
      <xdr:rowOff>57150</xdr:rowOff>
    </xdr:to>
    <xdr:cxnSp macro="">
      <xdr:nvCxnSpPr>
        <xdr:cNvPr id="33" name="Straight Arrow Connector 32"/>
        <xdr:cNvCxnSpPr/>
      </xdr:nvCxnSpPr>
      <xdr:spPr>
        <a:xfrm>
          <a:off x="2514600" y="21936075"/>
          <a:ext cx="828675" cy="1047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68942</xdr:colOff>
      <xdr:row>107</xdr:row>
      <xdr:rowOff>161925</xdr:rowOff>
    </xdr:from>
    <xdr:ext cx="1404359" cy="295850"/>
    <xdr:sp macro="" textlink="">
      <xdr:nvSpPr>
        <xdr:cNvPr id="111" name="TextBox 110"/>
        <xdr:cNvSpPr txBox="1"/>
      </xdr:nvSpPr>
      <xdr:spPr>
        <a:xfrm>
          <a:off x="1520371" y="22919871"/>
          <a:ext cx="1404359" cy="295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300" b="1" u="sng"/>
            <a:t>Low-Flow</a:t>
          </a:r>
          <a:r>
            <a:rPr lang="en-US" sz="1300" u="sng"/>
            <a:t> </a:t>
          </a:r>
          <a:r>
            <a:rPr lang="en-US" sz="1300" b="1" u="sng"/>
            <a:t>Trench</a:t>
          </a:r>
        </a:p>
      </xdr:txBody>
    </xdr:sp>
    <xdr:clientData/>
  </xdr:oneCellAnchor>
  <xdr:oneCellAnchor>
    <xdr:from>
      <xdr:col>8</xdr:col>
      <xdr:colOff>294368</xdr:colOff>
      <xdr:row>108</xdr:row>
      <xdr:rowOff>41728</xdr:rowOff>
    </xdr:from>
    <xdr:ext cx="1316899" cy="295850"/>
    <xdr:sp macro="" textlink="">
      <xdr:nvSpPr>
        <xdr:cNvPr id="112" name="TextBox 111"/>
        <xdr:cNvSpPr txBox="1"/>
      </xdr:nvSpPr>
      <xdr:spPr>
        <a:xfrm>
          <a:off x="4841422" y="22992442"/>
          <a:ext cx="1316899" cy="295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300" b="1" u="sng"/>
            <a:t>Collector Trench</a:t>
          </a:r>
        </a:p>
      </xdr:txBody>
    </xdr:sp>
    <xdr:clientData/>
  </xdr:oneCellAnchor>
  <xdr:twoCellAnchor editAs="oneCell">
    <xdr:from>
      <xdr:col>1</xdr:col>
      <xdr:colOff>28576</xdr:colOff>
      <xdr:row>58</xdr:row>
      <xdr:rowOff>147324</xdr:rowOff>
    </xdr:from>
    <xdr:to>
      <xdr:col>11</xdr:col>
      <xdr:colOff>615684</xdr:colOff>
      <xdr:row>70</xdr:row>
      <xdr:rowOff>171450</xdr:rowOff>
    </xdr:to>
    <xdr:pic>
      <xdr:nvPicPr>
        <xdr:cNvPr id="1049" name="Picture 25"/>
        <xdr:cNvPicPr>
          <a:picLocks noChangeAspect="1" noChangeArrowheads="1"/>
        </xdr:cNvPicPr>
      </xdr:nvPicPr>
      <xdr:blipFill>
        <a:blip xmlns:r="http://schemas.openxmlformats.org/officeDocument/2006/relationships" r:embed="rId2" cstate="print"/>
        <a:srcRect/>
        <a:stretch>
          <a:fillRect/>
        </a:stretch>
      </xdr:blipFill>
      <xdr:spPr bwMode="auto">
        <a:xfrm>
          <a:off x="28576" y="11253474"/>
          <a:ext cx="6987908" cy="2453001"/>
        </a:xfrm>
        <a:prstGeom prst="rect">
          <a:avLst/>
        </a:prstGeom>
        <a:noFill/>
        <a:ln w="1">
          <a:noFill/>
          <a:miter lim="800000"/>
          <a:headEnd/>
          <a:tailEnd type="none" w="med" len="med"/>
        </a:ln>
        <a:effectLst/>
      </xdr:spPr>
    </xdr:pic>
    <xdr:clientData/>
  </xdr:twoCellAnchor>
  <xdr:twoCellAnchor editAs="oneCell">
    <xdr:from>
      <xdr:col>5</xdr:col>
      <xdr:colOff>226772</xdr:colOff>
      <xdr:row>131</xdr:row>
      <xdr:rowOff>33516</xdr:rowOff>
    </xdr:from>
    <xdr:to>
      <xdr:col>11</xdr:col>
      <xdr:colOff>455300</xdr:colOff>
      <xdr:row>142</xdr:row>
      <xdr:rowOff>163354</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038289" y="25212361"/>
          <a:ext cx="3828320" cy="2205631"/>
        </a:xfrm>
        <a:prstGeom prst="rect">
          <a:avLst/>
        </a:prstGeom>
      </xdr:spPr>
    </xdr:pic>
    <xdr:clientData/>
  </xdr:twoCellAnchor>
  <xdr:twoCellAnchor>
    <xdr:from>
      <xdr:col>7</xdr:col>
      <xdr:colOff>211324</xdr:colOff>
      <xdr:row>118</xdr:row>
      <xdr:rowOff>107673</xdr:rowOff>
    </xdr:from>
    <xdr:to>
      <xdr:col>11</xdr:col>
      <xdr:colOff>506145</xdr:colOff>
      <xdr:row>128</xdr:row>
      <xdr:rowOff>158050</xdr:rowOff>
    </xdr:to>
    <xdr:grpSp>
      <xdr:nvGrpSpPr>
        <xdr:cNvPr id="28" name="Group 27"/>
        <xdr:cNvGrpSpPr/>
      </xdr:nvGrpSpPr>
      <xdr:grpSpPr>
        <a:xfrm>
          <a:off x="4849999" y="23110548"/>
          <a:ext cx="2666546" cy="1993477"/>
          <a:chOff x="4143092" y="23295095"/>
          <a:chExt cx="2664165" cy="2074439"/>
        </a:xfrm>
      </xdr:grpSpPr>
      <xdr:pic>
        <xdr:nvPicPr>
          <xdr:cNvPr id="61" name="Picture 60" descr="FIlter Drain 5-11-10.tif"/>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t="21259"/>
          <a:stretch/>
        </xdr:blipFill>
        <xdr:spPr>
          <a:xfrm>
            <a:off x="4143092" y="23681881"/>
            <a:ext cx="2664165" cy="1687653"/>
          </a:xfrm>
          <a:prstGeom prst="rect">
            <a:avLst/>
          </a:prstGeom>
        </xdr:spPr>
      </xdr:pic>
      <xdr:grpSp>
        <xdr:nvGrpSpPr>
          <xdr:cNvPr id="25" name="Group 24"/>
          <xdr:cNvGrpSpPr/>
        </xdr:nvGrpSpPr>
        <xdr:grpSpPr>
          <a:xfrm>
            <a:off x="4938292" y="23295095"/>
            <a:ext cx="1532237" cy="396530"/>
            <a:chOff x="4938292" y="23295095"/>
            <a:chExt cx="1532237" cy="396530"/>
          </a:xfrm>
        </xdr:grpSpPr>
        <xdr:cxnSp macro="">
          <xdr:nvCxnSpPr>
            <xdr:cNvPr id="8" name="Straight Connector 7"/>
            <xdr:cNvCxnSpPr/>
          </xdr:nvCxnSpPr>
          <xdr:spPr>
            <a:xfrm>
              <a:off x="4938292" y="23423446"/>
              <a:ext cx="63873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xdr:cNvCxnSpPr/>
          </xdr:nvCxnSpPr>
          <xdr:spPr>
            <a:xfrm>
              <a:off x="5644263" y="23434652"/>
              <a:ext cx="240226"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Arrow Connector 13"/>
            <xdr:cNvCxnSpPr/>
          </xdr:nvCxnSpPr>
          <xdr:spPr>
            <a:xfrm flipV="1">
              <a:off x="5821639" y="23431241"/>
              <a:ext cx="0" cy="260384"/>
            </a:xfrm>
            <a:prstGeom prst="straightConnector1">
              <a:avLst/>
            </a:prstGeom>
            <a:ln w="9525">
              <a:solidFill>
                <a:sysClr val="windowText" lastClr="000000"/>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sp macro="" textlink="">
          <xdr:nvSpPr>
            <xdr:cNvPr id="15" name="TextBox 14"/>
            <xdr:cNvSpPr txBox="1"/>
          </xdr:nvSpPr>
          <xdr:spPr>
            <a:xfrm>
              <a:off x="5904465" y="23414675"/>
              <a:ext cx="566064" cy="2603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a:t>
              </a:r>
              <a:r>
                <a:rPr lang="en-US" sz="1100" baseline="-25000"/>
                <a:t>BS</a:t>
              </a:r>
            </a:p>
          </xdr:txBody>
        </xdr:sp>
        <xdr:sp macro="" textlink="">
          <xdr:nvSpPr>
            <xdr:cNvPr id="16" name="Isosceles Triangle 15"/>
            <xdr:cNvSpPr/>
          </xdr:nvSpPr>
          <xdr:spPr>
            <a:xfrm rot="10800000">
              <a:off x="5183360" y="23295095"/>
              <a:ext cx="173934" cy="127862"/>
            </a:xfrm>
            <a:prstGeom prst="triangl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8" name="Straight Connector 17"/>
            <xdr:cNvCxnSpPr/>
          </xdr:nvCxnSpPr>
          <xdr:spPr>
            <a:xfrm>
              <a:off x="5173266" y="23461265"/>
              <a:ext cx="178593"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5220891" y="23508890"/>
              <a:ext cx="83343"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5244703" y="23556515"/>
              <a:ext cx="4167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12</xdr:col>
      <xdr:colOff>0</xdr:colOff>
      <xdr:row>0</xdr:row>
      <xdr:rowOff>0</xdr:rowOff>
    </xdr:from>
    <xdr:to>
      <xdr:col>12</xdr:col>
      <xdr:colOff>0</xdr:colOff>
      <xdr:row>52</xdr:row>
      <xdr:rowOff>57150</xdr:rowOff>
    </xdr:to>
    <xdr:pic>
      <xdr:nvPicPr>
        <xdr:cNvPr id="2" name="Picture 1"/>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7039841" y="0"/>
          <a:ext cx="0" cy="10058400"/>
        </a:xfrm>
        <a:prstGeom prst="rect">
          <a:avLst/>
        </a:prstGeom>
      </xdr:spPr>
    </xdr:pic>
    <xdr:clientData/>
  </xdr:twoCellAnchor>
  <xdr:twoCellAnchor editAs="oneCell">
    <xdr:from>
      <xdr:col>1</xdr:col>
      <xdr:colOff>76200</xdr:colOff>
      <xdr:row>32</xdr:row>
      <xdr:rowOff>17318</xdr:rowOff>
    </xdr:from>
    <xdr:to>
      <xdr:col>11</xdr:col>
      <xdr:colOff>590550</xdr:colOff>
      <xdr:row>45</xdr:row>
      <xdr:rowOff>95251</xdr:rowOff>
    </xdr:to>
    <xdr:pic>
      <xdr:nvPicPr>
        <xdr:cNvPr id="3" name="Picture 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685800" y="5913293"/>
          <a:ext cx="6915150" cy="25925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219"/>
  <sheetViews>
    <sheetView showGridLines="0" tabSelected="1" showRuler="0" showWhiteSpace="0" zoomScaleNormal="100" zoomScaleSheetLayoutView="100" zoomScalePageLayoutView="84" workbookViewId="0">
      <selection activeCell="D164" sqref="D164"/>
    </sheetView>
  </sheetViews>
  <sheetFormatPr defaultColWidth="0" defaultRowHeight="15" zeroHeight="1" x14ac:dyDescent="0.25"/>
  <cols>
    <col min="1" max="1" width="9.140625" style="54" customWidth="1"/>
    <col min="2" max="2" width="11.42578125" customWidth="1"/>
    <col min="3" max="3" width="9.140625" customWidth="1"/>
    <col min="4" max="4" width="12.42578125" bestFit="1" customWidth="1"/>
    <col min="5" max="7" width="9.140625" customWidth="1"/>
    <col min="8" max="8" width="4" customWidth="1"/>
    <col min="9" max="9" width="9.140625" customWidth="1"/>
    <col min="10" max="10" width="12.7109375" customWidth="1"/>
    <col min="11" max="12" width="9.7109375" customWidth="1"/>
    <col min="13" max="13" width="9.7109375" style="108" customWidth="1"/>
    <col min="14" max="14" width="9.7109375" style="54" hidden="1" customWidth="1"/>
    <col min="15" max="18" width="9.140625" hidden="1" customWidth="1"/>
    <col min="19" max="19" width="9.140625" style="54" hidden="1" customWidth="1"/>
    <col min="20" max="20" width="11.85546875" hidden="1" customWidth="1"/>
    <col min="21" max="21" width="9.140625" hidden="1" customWidth="1"/>
    <col min="22" max="22" width="6" hidden="1" customWidth="1"/>
    <col min="23" max="16384" width="9.140625" hidden="1"/>
  </cols>
  <sheetData>
    <row r="1" spans="1:34" ht="15" customHeight="1" x14ac:dyDescent="0.25">
      <c r="B1" s="334" t="s">
        <v>188</v>
      </c>
      <c r="C1" s="335"/>
      <c r="D1" s="335"/>
      <c r="E1" s="335"/>
      <c r="F1" s="335"/>
      <c r="G1" s="336"/>
      <c r="H1" s="292" t="s">
        <v>92</v>
      </c>
      <c r="I1" s="293"/>
      <c r="J1" s="309" t="s">
        <v>8</v>
      </c>
      <c r="K1" s="328" t="s">
        <v>9</v>
      </c>
      <c r="L1" s="329"/>
      <c r="M1" s="52"/>
      <c r="N1" s="52"/>
      <c r="U1" s="7"/>
      <c r="V1" s="7"/>
      <c r="W1" s="7"/>
      <c r="X1" s="7"/>
      <c r="Y1" s="7"/>
      <c r="Z1" s="7"/>
      <c r="AA1" s="7"/>
      <c r="AB1" s="7"/>
      <c r="AC1" s="7"/>
      <c r="AD1" s="7"/>
      <c r="AE1" s="7"/>
      <c r="AF1" s="7"/>
      <c r="AG1" s="7"/>
      <c r="AH1" s="7"/>
    </row>
    <row r="2" spans="1:34" ht="15" customHeight="1" x14ac:dyDescent="0.25">
      <c r="B2" s="337"/>
      <c r="C2" s="338"/>
      <c r="D2" s="338"/>
      <c r="E2" s="338"/>
      <c r="F2" s="338"/>
      <c r="G2" s="339"/>
      <c r="H2" s="80" t="s">
        <v>93</v>
      </c>
      <c r="I2" s="81"/>
      <c r="J2" s="310"/>
      <c r="K2" s="330" t="s">
        <v>10</v>
      </c>
      <c r="L2" s="331"/>
      <c r="M2" s="52"/>
      <c r="N2" s="52"/>
      <c r="U2" s="7"/>
      <c r="V2" s="7"/>
      <c r="W2" s="7"/>
      <c r="X2" s="7"/>
      <c r="Y2" s="7"/>
      <c r="Z2" s="7"/>
      <c r="AA2" s="7"/>
      <c r="AB2" s="7"/>
      <c r="AC2" s="7"/>
      <c r="AD2" s="7"/>
      <c r="AE2" s="7"/>
      <c r="AF2" s="7"/>
      <c r="AG2" s="7"/>
      <c r="AH2" s="7"/>
    </row>
    <row r="3" spans="1:34" ht="15" customHeight="1" x14ac:dyDescent="0.25">
      <c r="B3" s="198" t="s">
        <v>0</v>
      </c>
      <c r="C3" s="1"/>
      <c r="D3" s="332"/>
      <c r="E3" s="332"/>
      <c r="F3" s="332"/>
      <c r="G3" s="332"/>
      <c r="H3" s="1"/>
      <c r="I3" s="2"/>
      <c r="J3" s="1"/>
      <c r="K3" s="2" t="s">
        <v>1</v>
      </c>
      <c r="L3" s="199"/>
      <c r="M3" s="6"/>
      <c r="N3" s="6"/>
      <c r="U3" s="7"/>
      <c r="V3" s="7"/>
      <c r="W3" s="7"/>
      <c r="X3" s="7"/>
      <c r="Y3" s="7"/>
      <c r="Z3" s="7"/>
      <c r="AA3" s="7"/>
      <c r="AB3" s="7"/>
      <c r="AC3" s="7"/>
      <c r="AD3" s="7"/>
      <c r="AE3" s="7"/>
      <c r="AF3" s="7"/>
      <c r="AG3" s="7"/>
      <c r="AH3" s="7"/>
    </row>
    <row r="4" spans="1:34" ht="15" customHeight="1" x14ac:dyDescent="0.25">
      <c r="B4" s="198" t="s">
        <v>2</v>
      </c>
      <c r="C4" s="1"/>
      <c r="D4" s="333"/>
      <c r="E4" s="333"/>
      <c r="F4" s="333"/>
      <c r="G4" s="333"/>
      <c r="H4" s="1"/>
      <c r="I4" s="2"/>
      <c r="J4" s="1"/>
      <c r="K4" s="2" t="s">
        <v>3</v>
      </c>
      <c r="L4" s="200"/>
      <c r="M4" s="6"/>
      <c r="N4" s="6"/>
      <c r="U4" s="7"/>
      <c r="V4" s="7"/>
      <c r="W4" s="7"/>
      <c r="X4" s="7"/>
      <c r="Y4" s="7"/>
      <c r="Z4" s="7"/>
      <c r="AA4" s="7"/>
      <c r="AB4" s="7"/>
      <c r="AC4" s="7"/>
      <c r="AD4" s="7"/>
      <c r="AE4" s="7"/>
      <c r="AF4" s="7"/>
      <c r="AG4" s="7"/>
      <c r="AH4" s="7"/>
    </row>
    <row r="5" spans="1:34" ht="15" customHeight="1" x14ac:dyDescent="0.25">
      <c r="B5" s="299" t="s">
        <v>40</v>
      </c>
      <c r="C5" s="300"/>
      <c r="D5" s="300"/>
      <c r="E5" s="300"/>
      <c r="F5" s="300"/>
      <c r="G5" s="300"/>
      <c r="H5" s="300"/>
      <c r="I5" s="301"/>
      <c r="J5" s="301"/>
      <c r="K5" s="301"/>
      <c r="L5" s="302"/>
      <c r="M5" s="95"/>
      <c r="N5" s="35"/>
      <c r="U5" s="7"/>
      <c r="V5" s="7"/>
      <c r="W5" s="7"/>
      <c r="X5" s="7"/>
      <c r="Y5" s="7"/>
      <c r="Z5" s="7"/>
      <c r="AA5" s="7"/>
      <c r="AB5" s="7"/>
      <c r="AC5" s="7"/>
      <c r="AD5" s="7"/>
      <c r="AE5" s="7"/>
      <c r="AF5" s="7"/>
      <c r="AG5" s="7"/>
      <c r="AH5" s="7"/>
    </row>
    <row r="6" spans="1:34" s="54" customFormat="1" ht="15" customHeight="1" x14ac:dyDescent="0.25">
      <c r="B6" s="201"/>
      <c r="C6" s="113"/>
      <c r="D6" s="113"/>
      <c r="E6" s="113"/>
      <c r="F6" s="113"/>
      <c r="G6" s="113"/>
      <c r="H6" s="113"/>
      <c r="I6" s="35"/>
      <c r="J6" s="35"/>
      <c r="K6" s="35"/>
      <c r="L6" s="202"/>
      <c r="M6" s="95"/>
      <c r="N6" s="35"/>
      <c r="U6" s="55"/>
      <c r="V6" s="55"/>
      <c r="W6" s="55"/>
      <c r="X6" s="55"/>
      <c r="Y6" s="55"/>
      <c r="Z6" s="55"/>
      <c r="AA6" s="55"/>
      <c r="AB6" s="55"/>
      <c r="AC6" s="55"/>
      <c r="AD6" s="55"/>
      <c r="AE6" s="55"/>
      <c r="AF6" s="55"/>
      <c r="AG6" s="55"/>
      <c r="AH6" s="55"/>
    </row>
    <row r="7" spans="1:34" s="54" customFormat="1" ht="15" customHeight="1" x14ac:dyDescent="0.3">
      <c r="B7" s="271" t="s">
        <v>104</v>
      </c>
      <c r="C7" s="272"/>
      <c r="D7" s="272"/>
      <c r="E7" s="272"/>
      <c r="F7" s="114"/>
      <c r="G7" s="114"/>
      <c r="H7" s="114"/>
      <c r="I7" s="114"/>
      <c r="J7" s="115" t="s">
        <v>186</v>
      </c>
      <c r="K7" s="116"/>
      <c r="L7" s="203" t="s">
        <v>94</v>
      </c>
      <c r="M7" s="96"/>
      <c r="N7" s="62"/>
      <c r="U7" s="55"/>
      <c r="V7" s="55"/>
      <c r="W7" s="55"/>
      <c r="X7" s="55"/>
      <c r="Y7" s="55"/>
      <c r="Z7" s="55"/>
      <c r="AA7" s="55"/>
      <c r="AB7" s="55"/>
      <c r="AC7" s="55"/>
      <c r="AD7" s="55"/>
      <c r="AE7" s="55"/>
      <c r="AF7" s="55"/>
      <c r="AG7" s="55"/>
      <c r="AH7" s="55"/>
    </row>
    <row r="8" spans="1:34" s="39" customFormat="1" ht="14.1" customHeight="1" x14ac:dyDescent="0.25">
      <c r="A8" s="54"/>
      <c r="B8" s="201"/>
      <c r="C8" s="113"/>
      <c r="D8" s="113"/>
      <c r="E8" s="113"/>
      <c r="F8" s="113"/>
      <c r="G8" s="113"/>
      <c r="H8" s="113"/>
      <c r="I8" s="53"/>
      <c r="J8" s="53"/>
      <c r="K8" s="53"/>
      <c r="L8" s="204"/>
      <c r="M8" s="97"/>
      <c r="N8" s="53"/>
      <c r="S8" s="54"/>
      <c r="U8" s="7"/>
      <c r="V8" s="7"/>
      <c r="W8" s="7"/>
      <c r="X8" s="7"/>
      <c r="Y8" s="7"/>
      <c r="Z8" s="7"/>
      <c r="AA8" s="7"/>
      <c r="AB8" s="7"/>
      <c r="AC8" s="7"/>
      <c r="AD8" s="7"/>
      <c r="AE8" s="7"/>
      <c r="AF8" s="7"/>
      <c r="AG8" s="7"/>
      <c r="AH8" s="7"/>
    </row>
    <row r="9" spans="1:34" s="39" customFormat="1" ht="15" customHeight="1" x14ac:dyDescent="0.3">
      <c r="A9" s="54"/>
      <c r="B9" s="205" t="s">
        <v>187</v>
      </c>
      <c r="C9" s="117"/>
      <c r="D9" s="117"/>
      <c r="E9" s="117"/>
      <c r="F9" s="117"/>
      <c r="G9" s="117"/>
      <c r="H9" s="113"/>
      <c r="I9" s="53"/>
      <c r="J9" s="115" t="s">
        <v>148</v>
      </c>
      <c r="K9" s="118"/>
      <c r="L9" s="206" t="s">
        <v>149</v>
      </c>
      <c r="M9" s="98"/>
      <c r="N9" s="63"/>
      <c r="S9" s="54"/>
      <c r="U9" s="7"/>
      <c r="V9" s="7"/>
      <c r="W9" s="7"/>
      <c r="X9" s="7"/>
      <c r="Y9" s="7"/>
      <c r="Z9" s="7"/>
      <c r="AA9" s="7"/>
      <c r="AB9" s="7"/>
      <c r="AC9" s="7"/>
      <c r="AD9" s="7"/>
      <c r="AE9" s="7"/>
      <c r="AF9" s="7"/>
      <c r="AG9" s="7"/>
      <c r="AH9" s="7"/>
    </row>
    <row r="10" spans="1:34" s="39" customFormat="1" ht="14.1" customHeight="1" x14ac:dyDescent="0.25">
      <c r="A10" s="54"/>
      <c r="B10" s="201"/>
      <c r="C10" s="113"/>
      <c r="D10" s="113"/>
      <c r="E10" s="113"/>
      <c r="F10" s="113"/>
      <c r="G10" s="113"/>
      <c r="H10" s="113"/>
      <c r="I10" s="53"/>
      <c r="J10" s="53"/>
      <c r="K10" s="53"/>
      <c r="L10" s="204"/>
      <c r="M10" s="97"/>
      <c r="N10" s="53"/>
      <c r="S10" s="54"/>
      <c r="U10" s="7"/>
      <c r="V10" s="7"/>
      <c r="W10" s="7"/>
      <c r="X10" s="7"/>
      <c r="Y10" s="7"/>
      <c r="Z10" s="7"/>
      <c r="AA10" s="7"/>
      <c r="AB10" s="7"/>
      <c r="AC10" s="7"/>
      <c r="AD10" s="7"/>
      <c r="AE10" s="7"/>
      <c r="AF10" s="7"/>
      <c r="AG10" s="7"/>
      <c r="AH10" s="7"/>
    </row>
    <row r="11" spans="1:34" ht="15" customHeight="1" x14ac:dyDescent="0.25">
      <c r="B11" s="314" t="s">
        <v>15</v>
      </c>
      <c r="C11" s="315"/>
      <c r="D11" s="315"/>
      <c r="E11" s="315"/>
      <c r="F11" s="315"/>
      <c r="G11" s="315"/>
      <c r="H11" s="315"/>
      <c r="I11" s="315"/>
      <c r="J11" s="315"/>
      <c r="K11" s="301"/>
      <c r="L11" s="302"/>
      <c r="M11" s="95"/>
      <c r="N11" s="35"/>
      <c r="U11" s="7"/>
      <c r="V11" s="7"/>
      <c r="W11" s="7"/>
      <c r="X11" s="7"/>
      <c r="Y11" s="7"/>
      <c r="Z11" s="7"/>
      <c r="AA11" s="7"/>
      <c r="AB11" s="7"/>
      <c r="AC11" s="7"/>
      <c r="AD11" s="7"/>
      <c r="AE11" s="7"/>
      <c r="AF11" s="7"/>
      <c r="AG11" s="7"/>
      <c r="AH11" s="7"/>
    </row>
    <row r="12" spans="1:34" ht="14.1" customHeight="1" x14ac:dyDescent="0.25">
      <c r="B12" s="207"/>
      <c r="C12" s="186"/>
      <c r="D12" s="186"/>
      <c r="E12" s="186"/>
      <c r="F12" s="186"/>
      <c r="G12" s="186"/>
      <c r="H12" s="186"/>
      <c r="I12" s="186"/>
      <c r="J12" s="191"/>
      <c r="K12" s="178"/>
      <c r="L12" s="208"/>
      <c r="M12" s="99"/>
      <c r="N12" s="59"/>
      <c r="T12" s="54"/>
      <c r="U12" s="7"/>
      <c r="V12" s="7"/>
      <c r="W12" s="7"/>
      <c r="X12" s="7"/>
      <c r="Y12" s="7"/>
      <c r="Z12" s="7"/>
      <c r="AA12" s="7"/>
      <c r="AB12" s="7"/>
      <c r="AC12" s="7"/>
      <c r="AD12" s="7"/>
      <c r="AE12" s="7"/>
      <c r="AF12" s="7"/>
      <c r="AG12" s="7"/>
      <c r="AH12" s="7"/>
    </row>
    <row r="13" spans="1:34" ht="15" customHeight="1" x14ac:dyDescent="0.25">
      <c r="B13" s="317" t="s">
        <v>95</v>
      </c>
      <c r="C13" s="318"/>
      <c r="D13" s="318"/>
      <c r="E13" s="119"/>
      <c r="F13" s="119"/>
      <c r="G13" s="186"/>
      <c r="H13" s="316"/>
      <c r="I13" s="316"/>
      <c r="J13" s="316"/>
      <c r="K13" s="182"/>
      <c r="L13" s="208"/>
      <c r="M13" s="99"/>
      <c r="N13" s="59"/>
      <c r="T13" s="54"/>
      <c r="U13" s="7"/>
      <c r="V13" s="7"/>
      <c r="W13" s="7"/>
      <c r="X13" s="7"/>
      <c r="Y13" s="7"/>
      <c r="AA13" s="7"/>
      <c r="AB13" s="7"/>
      <c r="AC13" s="7"/>
      <c r="AD13" s="7"/>
      <c r="AE13" s="7"/>
      <c r="AF13" s="7"/>
      <c r="AG13" s="7"/>
    </row>
    <row r="14" spans="1:34" ht="14.1" customHeight="1" x14ac:dyDescent="0.25">
      <c r="B14" s="209"/>
      <c r="C14" s="197"/>
      <c r="D14" s="119"/>
      <c r="E14" s="119"/>
      <c r="F14" s="119"/>
      <c r="G14" s="186"/>
      <c r="H14" s="119"/>
      <c r="I14" s="185"/>
      <c r="J14" s="186"/>
      <c r="K14" s="186"/>
      <c r="L14" s="208"/>
      <c r="M14" s="99"/>
      <c r="N14" s="59"/>
      <c r="T14" s="54"/>
      <c r="U14" s="7"/>
      <c r="V14" s="7"/>
      <c r="W14" s="7"/>
      <c r="X14" s="7"/>
      <c r="Y14" s="7"/>
      <c r="Z14" s="7"/>
      <c r="AA14" s="7"/>
      <c r="AB14" s="7"/>
      <c r="AC14" s="7"/>
      <c r="AD14" s="7"/>
      <c r="AE14" s="7"/>
      <c r="AF14" s="7"/>
      <c r="AG14" s="7"/>
      <c r="AH14" s="7"/>
    </row>
    <row r="15" spans="1:34" ht="15" customHeight="1" x14ac:dyDescent="0.25">
      <c r="B15" s="323" t="s">
        <v>105</v>
      </c>
      <c r="C15" s="324"/>
      <c r="D15" s="324"/>
      <c r="E15" s="324"/>
      <c r="F15" s="324"/>
      <c r="G15" s="324"/>
      <c r="H15" s="119"/>
      <c r="I15" s="319" t="s">
        <v>12</v>
      </c>
      <c r="J15" s="319"/>
      <c r="K15" s="120"/>
      <c r="L15" s="210" t="s">
        <v>6</v>
      </c>
      <c r="M15" s="1"/>
      <c r="N15" s="9"/>
      <c r="T15" s="54"/>
      <c r="U15" s="7"/>
      <c r="V15" s="7"/>
      <c r="W15" s="7"/>
      <c r="X15" s="7"/>
      <c r="Y15" s="7"/>
      <c r="Z15" s="7"/>
      <c r="AA15" s="7"/>
      <c r="AB15" s="7"/>
      <c r="AC15" s="7"/>
      <c r="AD15" s="7"/>
      <c r="AE15" s="7"/>
      <c r="AF15" s="7"/>
      <c r="AG15" s="7"/>
      <c r="AH15" s="7"/>
    </row>
    <row r="16" spans="1:34" ht="14.1" customHeight="1" x14ac:dyDescent="0.25">
      <c r="B16" s="209"/>
      <c r="C16" s="186"/>
      <c r="D16" s="186"/>
      <c r="E16" s="186"/>
      <c r="F16" s="186"/>
      <c r="G16" s="186"/>
      <c r="H16" s="186"/>
      <c r="I16" s="186"/>
      <c r="J16" s="186"/>
      <c r="K16" s="121"/>
      <c r="L16" s="208"/>
      <c r="M16" s="99"/>
      <c r="N16" s="59"/>
      <c r="T16" s="54"/>
      <c r="U16" s="7"/>
      <c r="V16" s="17"/>
      <c r="W16" s="17"/>
      <c r="X16" s="17"/>
      <c r="Y16" s="17"/>
      <c r="Z16" s="17"/>
      <c r="AA16" s="17"/>
      <c r="AB16" s="17"/>
      <c r="AC16" s="7"/>
      <c r="AD16" s="17"/>
      <c r="AE16" s="17"/>
      <c r="AF16" s="17"/>
      <c r="AG16" s="17"/>
      <c r="AH16" s="17"/>
    </row>
    <row r="17" spans="2:34" ht="15" customHeight="1" x14ac:dyDescent="0.25">
      <c r="B17" s="325" t="s">
        <v>115</v>
      </c>
      <c r="C17" s="326"/>
      <c r="D17" s="326"/>
      <c r="E17" s="326"/>
      <c r="F17" s="326"/>
      <c r="G17" s="326"/>
      <c r="H17" s="119"/>
      <c r="I17" s="298" t="s">
        <v>13</v>
      </c>
      <c r="J17" s="298"/>
      <c r="K17" s="122"/>
      <c r="L17" s="208" t="s">
        <v>6</v>
      </c>
      <c r="M17" s="99"/>
      <c r="N17" s="59"/>
      <c r="T17" s="54"/>
      <c r="U17" s="7"/>
      <c r="V17" s="17"/>
      <c r="W17" s="17"/>
      <c r="X17" s="17"/>
      <c r="Y17" s="17"/>
      <c r="Z17" s="17"/>
      <c r="AA17" s="17"/>
      <c r="AB17" s="17"/>
      <c r="AC17" s="7"/>
      <c r="AD17" s="17"/>
      <c r="AE17" s="17"/>
      <c r="AF17" s="17"/>
      <c r="AG17" s="17"/>
      <c r="AH17" s="17"/>
    </row>
    <row r="18" spans="2:34" s="54" customFormat="1" ht="15" customHeight="1" x14ac:dyDescent="0.25">
      <c r="B18" s="207"/>
      <c r="C18" s="194"/>
      <c r="D18" s="194"/>
      <c r="E18" s="194"/>
      <c r="F18" s="194"/>
      <c r="G18" s="194"/>
      <c r="H18" s="119"/>
      <c r="I18" s="185"/>
      <c r="J18" s="185"/>
      <c r="K18" s="123"/>
      <c r="L18" s="208"/>
      <c r="M18" s="99"/>
      <c r="N18" s="59"/>
      <c r="U18" s="55"/>
      <c r="V18" s="17"/>
      <c r="W18" s="17"/>
      <c r="X18" s="17"/>
      <c r="Y18" s="17"/>
      <c r="Z18" s="17"/>
      <c r="AA18" s="17"/>
      <c r="AB18" s="17"/>
      <c r="AC18" s="55"/>
      <c r="AD18" s="17"/>
      <c r="AE18" s="17"/>
      <c r="AF18" s="17"/>
      <c r="AG18" s="17"/>
      <c r="AH18" s="17"/>
    </row>
    <row r="19" spans="2:34" s="54" customFormat="1" ht="15" customHeight="1" x14ac:dyDescent="0.25">
      <c r="B19" s="207"/>
      <c r="C19" s="194"/>
      <c r="D19" s="194"/>
      <c r="E19" s="194"/>
      <c r="F19" s="194"/>
      <c r="G19" s="194"/>
      <c r="H19" s="316" t="s">
        <v>32</v>
      </c>
      <c r="I19" s="316"/>
      <c r="J19" s="316"/>
      <c r="K19" s="124" t="str">
        <f>IF(OR(K15="",K17=""),"",K15/K17)</f>
        <v/>
      </c>
      <c r="L19" s="208"/>
      <c r="M19" s="99"/>
      <c r="N19" s="59"/>
      <c r="U19" s="55"/>
      <c r="V19" s="17"/>
      <c r="W19" s="17"/>
      <c r="X19" s="17"/>
      <c r="Y19" s="17"/>
      <c r="Z19" s="17"/>
      <c r="AA19" s="17"/>
      <c r="AB19" s="17"/>
      <c r="AC19" s="55"/>
      <c r="AD19" s="17"/>
      <c r="AE19" s="17"/>
      <c r="AF19" s="17"/>
      <c r="AG19" s="17"/>
      <c r="AH19" s="17"/>
    </row>
    <row r="20" spans="2:34" ht="14.1" customHeight="1" x14ac:dyDescent="0.25">
      <c r="B20" s="211"/>
      <c r="C20" s="194"/>
      <c r="D20" s="194"/>
      <c r="E20" s="194"/>
      <c r="F20" s="194"/>
      <c r="G20" s="194"/>
      <c r="H20" s="119"/>
      <c r="I20" s="185"/>
      <c r="J20" s="185"/>
      <c r="K20" s="125"/>
      <c r="L20" s="208"/>
      <c r="M20" s="99"/>
      <c r="N20" s="59"/>
      <c r="T20" s="54"/>
      <c r="U20" s="7"/>
      <c r="V20" s="18"/>
      <c r="W20" s="18"/>
      <c r="X20" s="19"/>
      <c r="Y20" s="19"/>
      <c r="Z20" s="19"/>
      <c r="AA20" s="7"/>
      <c r="AB20" s="7"/>
      <c r="AC20" s="7"/>
      <c r="AD20" s="18"/>
      <c r="AE20" s="18"/>
      <c r="AF20" s="19"/>
      <c r="AG20" s="19"/>
      <c r="AH20" s="19"/>
    </row>
    <row r="21" spans="2:34" ht="15" customHeight="1" x14ac:dyDescent="0.25">
      <c r="B21" s="306" t="s">
        <v>189</v>
      </c>
      <c r="C21" s="307"/>
      <c r="D21" s="307"/>
      <c r="E21" s="307"/>
      <c r="F21" s="327" t="str">
        <f>IF(AND(K21&lt;4,K21&lt;&gt;""),("H:V &lt; 4:1, Verify Consistency with Basin Guidelines, Section 1.2"), (" "))</f>
        <v xml:space="preserve"> </v>
      </c>
      <c r="G21" s="327"/>
      <c r="H21" s="327"/>
      <c r="I21" s="327"/>
      <c r="J21" s="185" t="s">
        <v>42</v>
      </c>
      <c r="K21" s="122"/>
      <c r="L21" s="208" t="s">
        <v>34</v>
      </c>
      <c r="M21" s="99"/>
      <c r="N21" s="59"/>
      <c r="T21" s="54"/>
      <c r="U21" s="7"/>
      <c r="V21" s="20"/>
      <c r="W21" s="20"/>
      <c r="X21" s="20"/>
      <c r="Y21" s="10"/>
      <c r="Z21" s="19"/>
      <c r="AA21" s="10"/>
      <c r="AB21" s="10"/>
      <c r="AC21" s="16"/>
      <c r="AD21" s="14"/>
      <c r="AE21" s="16"/>
      <c r="AF21" s="4"/>
      <c r="AG21" s="7"/>
      <c r="AH21" s="7"/>
    </row>
    <row r="22" spans="2:34" ht="14.1" customHeight="1" x14ac:dyDescent="0.25">
      <c r="B22" s="211"/>
      <c r="C22" s="126"/>
      <c r="D22" s="126"/>
      <c r="E22" s="126"/>
      <c r="F22" s="327"/>
      <c r="G22" s="327"/>
      <c r="H22" s="327"/>
      <c r="I22" s="327"/>
      <c r="J22" s="185"/>
      <c r="K22" s="125"/>
      <c r="L22" s="208"/>
      <c r="M22" s="99"/>
      <c r="N22" s="59"/>
      <c r="T22" s="54"/>
      <c r="U22" s="7"/>
      <c r="V22" s="20"/>
      <c r="W22" s="30"/>
      <c r="X22" s="30"/>
      <c r="Y22" s="30"/>
      <c r="Z22" s="30"/>
      <c r="AA22" s="30"/>
      <c r="AB22" s="30"/>
      <c r="AC22" s="30"/>
      <c r="AD22" s="14"/>
      <c r="AE22" s="16"/>
      <c r="AF22" s="4"/>
      <c r="AG22" s="7"/>
      <c r="AH22" s="7"/>
    </row>
    <row r="23" spans="2:34" ht="15" customHeight="1" x14ac:dyDescent="0.3">
      <c r="B23" s="306" t="s">
        <v>114</v>
      </c>
      <c r="C23" s="307"/>
      <c r="D23" s="307"/>
      <c r="E23" s="307"/>
      <c r="F23" s="307"/>
      <c r="G23" s="307"/>
      <c r="H23" s="307"/>
      <c r="I23" s="307"/>
      <c r="J23" s="185" t="s">
        <v>150</v>
      </c>
      <c r="K23" s="127"/>
      <c r="L23" s="208" t="s">
        <v>6</v>
      </c>
      <c r="M23" s="99"/>
      <c r="N23" s="59"/>
      <c r="T23" s="54"/>
      <c r="U23" s="7"/>
      <c r="V23" s="20"/>
      <c r="W23" s="30"/>
      <c r="X23" s="30"/>
      <c r="Y23" s="30"/>
      <c r="Z23" s="30"/>
      <c r="AA23" s="30"/>
      <c r="AB23" s="30"/>
      <c r="AC23" s="30"/>
      <c r="AD23" s="14"/>
      <c r="AE23" s="16"/>
      <c r="AF23" s="4"/>
      <c r="AG23" s="7"/>
      <c r="AH23" s="7"/>
    </row>
    <row r="24" spans="2:34" ht="14.1" customHeight="1" x14ac:dyDescent="0.25">
      <c r="B24" s="211"/>
      <c r="C24" s="194"/>
      <c r="D24" s="194"/>
      <c r="E24" s="194"/>
      <c r="F24" s="194"/>
      <c r="G24" s="194"/>
      <c r="H24" s="119"/>
      <c r="I24" s="185"/>
      <c r="J24" s="185"/>
      <c r="K24" s="125"/>
      <c r="L24" s="208"/>
      <c r="M24" s="99"/>
      <c r="N24" s="59"/>
      <c r="T24" s="54"/>
      <c r="U24" s="7"/>
      <c r="V24" s="7"/>
      <c r="W24" s="19"/>
      <c r="X24" s="7"/>
      <c r="Y24" s="7"/>
      <c r="Z24" s="19"/>
      <c r="AA24" s="10"/>
      <c r="AB24" s="10"/>
      <c r="AC24" s="16"/>
      <c r="AD24" s="14"/>
      <c r="AE24" s="16"/>
      <c r="AF24" s="4"/>
      <c r="AG24" s="7"/>
      <c r="AH24" s="7"/>
    </row>
    <row r="25" spans="2:34" ht="15" customHeight="1" x14ac:dyDescent="0.3">
      <c r="B25" s="304" t="s">
        <v>106</v>
      </c>
      <c r="C25" s="305"/>
      <c r="D25" s="305"/>
      <c r="E25" s="305"/>
      <c r="F25" s="305"/>
      <c r="G25" s="305"/>
      <c r="H25" s="187"/>
      <c r="I25" s="187"/>
      <c r="J25" s="185" t="s">
        <v>151</v>
      </c>
      <c r="K25" s="128"/>
      <c r="L25" s="208" t="s">
        <v>6</v>
      </c>
      <c r="M25" s="99"/>
      <c r="N25" s="59"/>
      <c r="O25" s="38"/>
      <c r="T25" s="41"/>
      <c r="AA25" s="3"/>
      <c r="AB25" s="10"/>
      <c r="AC25" s="16"/>
      <c r="AD25" s="14"/>
      <c r="AE25" s="16"/>
      <c r="AF25" s="4"/>
      <c r="AG25" s="7"/>
      <c r="AH25" s="7"/>
    </row>
    <row r="26" spans="2:34" ht="14.1" customHeight="1" x14ac:dyDescent="0.25">
      <c r="B26" s="211"/>
      <c r="C26" s="194"/>
      <c r="D26" s="194"/>
      <c r="E26" s="194"/>
      <c r="F26" s="194"/>
      <c r="G26" s="194"/>
      <c r="H26" s="119"/>
      <c r="I26" s="185"/>
      <c r="J26" s="185"/>
      <c r="K26" s="65"/>
      <c r="L26" s="208"/>
      <c r="M26" s="99"/>
      <c r="N26" s="59"/>
      <c r="T26" s="54"/>
      <c r="U26" s="7"/>
      <c r="V26" s="7"/>
      <c r="W26" s="7"/>
      <c r="X26" s="7"/>
      <c r="Y26" s="7"/>
      <c r="Z26" s="19"/>
      <c r="AA26" s="10"/>
      <c r="AB26" s="10"/>
      <c r="AC26" s="16"/>
      <c r="AD26" s="14"/>
      <c r="AE26" s="16"/>
      <c r="AF26" s="4"/>
      <c r="AG26" s="7"/>
      <c r="AH26" s="7"/>
    </row>
    <row r="27" spans="2:34" ht="14.25" customHeight="1" x14ac:dyDescent="0.3">
      <c r="B27" s="306" t="s">
        <v>107</v>
      </c>
      <c r="C27" s="307"/>
      <c r="D27" s="307"/>
      <c r="E27" s="307"/>
      <c r="F27" s="307"/>
      <c r="G27" s="307"/>
      <c r="H27" s="307"/>
      <c r="I27" s="307"/>
      <c r="J27" s="126" t="s">
        <v>152</v>
      </c>
      <c r="K27" s="129" t="str">
        <f>IF(K23="","",(K23+K25)+2.33+0.33)</f>
        <v/>
      </c>
      <c r="L27" s="208" t="s">
        <v>6</v>
      </c>
      <c r="M27" s="99"/>
      <c r="N27" s="59"/>
      <c r="T27" s="54"/>
      <c r="U27" s="7"/>
      <c r="V27" s="7"/>
      <c r="W27" s="7"/>
      <c r="X27" s="7"/>
      <c r="Y27" s="7"/>
      <c r="Z27" s="19"/>
      <c r="AA27" s="10"/>
      <c r="AB27" s="10"/>
      <c r="AC27" s="16"/>
      <c r="AD27" s="14"/>
      <c r="AE27" s="16"/>
      <c r="AF27" s="4"/>
      <c r="AG27" s="7"/>
      <c r="AH27" s="7"/>
    </row>
    <row r="28" spans="2:34" ht="14.25" customHeight="1" x14ac:dyDescent="0.3">
      <c r="B28" s="306" t="s">
        <v>153</v>
      </c>
      <c r="C28" s="307"/>
      <c r="D28" s="307"/>
      <c r="E28" s="307"/>
      <c r="F28" s="307"/>
      <c r="G28" s="307"/>
      <c r="H28" s="307"/>
      <c r="I28" s="307"/>
      <c r="J28" s="36"/>
      <c r="K28" s="130"/>
      <c r="L28" s="208"/>
      <c r="M28" s="99"/>
      <c r="N28" s="59"/>
      <c r="T28" s="54"/>
      <c r="U28" s="7"/>
      <c r="V28" s="7"/>
      <c r="W28" s="7"/>
      <c r="X28" s="7"/>
      <c r="Y28" s="7"/>
      <c r="Z28" s="19"/>
      <c r="AA28" s="10"/>
      <c r="AB28" s="10"/>
      <c r="AC28" s="16"/>
      <c r="AD28" s="14"/>
      <c r="AE28" s="16"/>
      <c r="AF28" s="4"/>
      <c r="AG28" s="7"/>
      <c r="AH28" s="7"/>
    </row>
    <row r="29" spans="2:34" s="54" customFormat="1" ht="14.25" customHeight="1" x14ac:dyDescent="0.25">
      <c r="B29" s="306" t="s">
        <v>154</v>
      </c>
      <c r="C29" s="307"/>
      <c r="D29" s="307"/>
      <c r="E29" s="307"/>
      <c r="F29" s="307"/>
      <c r="G29" s="307"/>
      <c r="H29" s="307"/>
      <c r="I29" s="307"/>
      <c r="J29" s="36"/>
      <c r="K29" s="186"/>
      <c r="L29" s="208"/>
      <c r="M29" s="99"/>
      <c r="N29" s="59"/>
      <c r="U29" s="55"/>
      <c r="V29" s="55"/>
      <c r="W29" s="55"/>
      <c r="X29" s="55"/>
      <c r="Y29" s="55"/>
      <c r="Z29" s="19"/>
      <c r="AA29" s="10"/>
      <c r="AB29" s="10"/>
      <c r="AC29" s="16"/>
      <c r="AD29" s="14"/>
      <c r="AE29" s="16"/>
      <c r="AF29" s="4"/>
      <c r="AG29" s="55"/>
      <c r="AH29" s="55"/>
    </row>
    <row r="30" spans="2:34" s="54" customFormat="1" ht="15" customHeight="1" x14ac:dyDescent="0.25">
      <c r="B30" s="212"/>
      <c r="C30" s="194"/>
      <c r="D30" s="194"/>
      <c r="E30" s="194"/>
      <c r="F30" s="194"/>
      <c r="G30" s="194"/>
      <c r="H30" s="194"/>
      <c r="I30" s="194"/>
      <c r="J30" s="36"/>
      <c r="K30" s="186"/>
      <c r="L30" s="208"/>
      <c r="M30" s="99"/>
      <c r="N30" s="59"/>
      <c r="U30" s="55"/>
      <c r="V30" s="55"/>
      <c r="W30" s="55"/>
      <c r="X30" s="55"/>
      <c r="Y30" s="55"/>
      <c r="Z30" s="19"/>
      <c r="AA30" s="10"/>
      <c r="AB30" s="10"/>
      <c r="AC30" s="16"/>
      <c r="AD30" s="14"/>
      <c r="AE30" s="16"/>
      <c r="AF30" s="4"/>
      <c r="AG30" s="55"/>
      <c r="AH30" s="55"/>
    </row>
    <row r="31" spans="2:34" ht="15" customHeight="1" x14ac:dyDescent="0.3">
      <c r="B31" s="325" t="s">
        <v>108</v>
      </c>
      <c r="C31" s="326"/>
      <c r="D31" s="326"/>
      <c r="E31" s="326"/>
      <c r="F31" s="326"/>
      <c r="G31" s="326"/>
      <c r="H31" s="326"/>
      <c r="I31" s="326"/>
      <c r="J31" s="115" t="s">
        <v>155</v>
      </c>
      <c r="K31" s="131" t="str">
        <f>IF(K23="","",K23)</f>
        <v/>
      </c>
      <c r="L31" s="208" t="s">
        <v>39</v>
      </c>
      <c r="M31" s="99"/>
      <c r="N31" s="59"/>
      <c r="T31" s="54"/>
      <c r="U31" s="7"/>
      <c r="V31" s="7"/>
      <c r="W31" s="7"/>
      <c r="X31" s="7"/>
      <c r="Y31" s="7"/>
      <c r="Z31" s="19"/>
      <c r="AA31" s="10"/>
      <c r="AB31" s="10"/>
      <c r="AC31" s="16"/>
      <c r="AD31" s="14"/>
      <c r="AE31" s="16"/>
      <c r="AF31" s="4"/>
      <c r="AG31" s="7"/>
      <c r="AH31" s="7"/>
    </row>
    <row r="32" spans="2:34" s="54" customFormat="1" ht="15" customHeight="1" x14ac:dyDescent="0.25">
      <c r="B32" s="212"/>
      <c r="C32" s="194"/>
      <c r="D32" s="194"/>
      <c r="E32" s="194"/>
      <c r="F32" s="194"/>
      <c r="G32" s="194"/>
      <c r="H32" s="194"/>
      <c r="I32" s="194"/>
      <c r="J32" s="115"/>
      <c r="K32" s="132"/>
      <c r="L32" s="208"/>
      <c r="M32" s="99"/>
      <c r="N32" s="59"/>
      <c r="U32" s="55"/>
      <c r="V32" s="55"/>
      <c r="W32" s="55"/>
      <c r="X32" s="55"/>
      <c r="Y32" s="55"/>
      <c r="Z32" s="19"/>
      <c r="AA32" s="10"/>
      <c r="AB32" s="10"/>
      <c r="AC32" s="16"/>
      <c r="AD32" s="14"/>
      <c r="AE32" s="16"/>
      <c r="AF32" s="4"/>
      <c r="AG32" s="55"/>
      <c r="AH32" s="55"/>
    </row>
    <row r="33" spans="1:34" ht="14.1" customHeight="1" x14ac:dyDescent="0.25">
      <c r="B33" s="212"/>
      <c r="C33" s="194"/>
      <c r="D33" s="194"/>
      <c r="E33" s="194"/>
      <c r="F33" s="194"/>
      <c r="G33" s="194"/>
      <c r="H33" s="194"/>
      <c r="I33" s="194"/>
      <c r="J33" s="36"/>
      <c r="K33" s="186"/>
      <c r="L33" s="208"/>
      <c r="M33" s="99"/>
      <c r="N33" s="59"/>
      <c r="T33" s="54"/>
      <c r="U33" s="7"/>
      <c r="V33" s="7"/>
      <c r="W33" s="7"/>
      <c r="X33" s="7"/>
      <c r="Y33" s="7"/>
      <c r="Z33" s="19"/>
      <c r="AA33" s="10"/>
      <c r="AB33" s="10"/>
      <c r="AC33" s="16"/>
      <c r="AD33" s="14"/>
      <c r="AE33" s="16"/>
      <c r="AF33" s="4"/>
      <c r="AG33" s="7"/>
      <c r="AH33" s="7"/>
    </row>
    <row r="34" spans="1:34" ht="15" customHeight="1" x14ac:dyDescent="0.25">
      <c r="B34" s="212"/>
      <c r="C34" s="182"/>
      <c r="D34" s="182"/>
      <c r="E34" s="182"/>
      <c r="F34" s="182"/>
      <c r="G34" s="182"/>
      <c r="H34" s="182"/>
      <c r="I34" s="182"/>
      <c r="J34" s="182"/>
      <c r="K34" s="35"/>
      <c r="L34" s="202"/>
      <c r="M34" s="95"/>
      <c r="N34" s="35"/>
      <c r="T34" s="54"/>
      <c r="U34" s="7"/>
      <c r="V34" s="7"/>
      <c r="W34" s="7"/>
      <c r="X34" s="7"/>
      <c r="Y34" s="7"/>
      <c r="Z34" s="19"/>
      <c r="AA34" s="10"/>
      <c r="AB34" s="10"/>
      <c r="AC34" s="16"/>
      <c r="AD34" s="14"/>
      <c r="AE34" s="16"/>
      <c r="AF34" s="4"/>
      <c r="AG34" s="7"/>
      <c r="AH34" s="7"/>
    </row>
    <row r="35" spans="1:34" ht="15" customHeight="1" x14ac:dyDescent="0.25">
      <c r="B35" s="212"/>
      <c r="C35" s="182"/>
      <c r="D35" s="182"/>
      <c r="E35" s="182"/>
      <c r="F35" s="182"/>
      <c r="G35" s="182"/>
      <c r="H35" s="182"/>
      <c r="I35" s="182"/>
      <c r="J35" s="182"/>
      <c r="K35" s="35"/>
      <c r="L35" s="202"/>
      <c r="M35" s="95"/>
      <c r="N35" s="35"/>
      <c r="T35" s="54"/>
      <c r="U35" s="7"/>
      <c r="V35" s="7"/>
      <c r="W35" s="7"/>
      <c r="X35" s="7"/>
      <c r="Y35" s="7"/>
      <c r="Z35" s="19"/>
      <c r="AA35" s="10"/>
      <c r="AB35" s="10"/>
      <c r="AC35" s="16"/>
      <c r="AD35" s="14"/>
      <c r="AE35" s="16"/>
      <c r="AF35" s="4"/>
      <c r="AG35" s="7"/>
      <c r="AH35" s="7"/>
    </row>
    <row r="36" spans="1:34" ht="15" customHeight="1" x14ac:dyDescent="0.25">
      <c r="B36" s="212"/>
      <c r="C36" s="182"/>
      <c r="D36" s="182"/>
      <c r="E36" s="182"/>
      <c r="F36" s="182"/>
      <c r="G36" s="182"/>
      <c r="H36" s="182"/>
      <c r="I36" s="182"/>
      <c r="J36" s="182"/>
      <c r="K36" s="35"/>
      <c r="L36" s="202"/>
      <c r="M36" s="95"/>
      <c r="N36" s="35"/>
      <c r="T36" s="54"/>
      <c r="U36" s="7"/>
      <c r="V36" s="7"/>
      <c r="W36" s="7"/>
      <c r="X36" s="7"/>
      <c r="Y36" s="7"/>
      <c r="Z36" s="19"/>
      <c r="AA36" s="10"/>
      <c r="AB36" s="10"/>
      <c r="AC36" s="16"/>
      <c r="AD36" s="14"/>
      <c r="AE36" s="16"/>
      <c r="AF36" s="4"/>
      <c r="AG36" s="7"/>
      <c r="AH36" s="7"/>
    </row>
    <row r="37" spans="1:34" ht="15" customHeight="1" x14ac:dyDescent="0.25">
      <c r="B37" s="212"/>
      <c r="C37" s="182"/>
      <c r="D37" s="182"/>
      <c r="E37" s="182"/>
      <c r="F37" s="182"/>
      <c r="G37" s="182"/>
      <c r="H37" s="182"/>
      <c r="I37" s="182"/>
      <c r="J37" s="182"/>
      <c r="K37" s="35"/>
      <c r="L37" s="202"/>
      <c r="M37" s="95"/>
      <c r="N37" s="35"/>
      <c r="T37" s="54"/>
      <c r="U37" s="7"/>
      <c r="V37" s="7"/>
      <c r="W37" s="7"/>
      <c r="X37" s="7"/>
      <c r="Y37" s="7"/>
      <c r="Z37" s="19"/>
      <c r="AA37" s="10"/>
      <c r="AB37" s="10"/>
      <c r="AC37" s="16"/>
      <c r="AD37" s="14"/>
      <c r="AE37" s="16"/>
      <c r="AF37" s="4"/>
      <c r="AG37" s="7"/>
      <c r="AH37" s="7"/>
    </row>
    <row r="38" spans="1:34" ht="15" customHeight="1" x14ac:dyDescent="0.25">
      <c r="B38" s="212"/>
      <c r="C38" s="182"/>
      <c r="D38" s="182"/>
      <c r="E38" s="182"/>
      <c r="F38" s="182"/>
      <c r="G38" s="182"/>
      <c r="H38" s="182"/>
      <c r="I38" s="182"/>
      <c r="J38" s="182"/>
      <c r="K38" s="35"/>
      <c r="L38" s="202"/>
      <c r="M38" s="95"/>
      <c r="N38" s="35"/>
      <c r="T38" s="54"/>
      <c r="U38" s="7"/>
      <c r="V38" s="7"/>
      <c r="W38" s="7"/>
      <c r="X38" s="7"/>
      <c r="Y38" s="7"/>
      <c r="Z38" s="19"/>
      <c r="AA38" s="10"/>
      <c r="AB38" s="10"/>
      <c r="AC38" s="16"/>
      <c r="AD38" s="14"/>
      <c r="AE38" s="16"/>
      <c r="AF38" s="4"/>
      <c r="AG38" s="7"/>
      <c r="AH38" s="7"/>
    </row>
    <row r="39" spans="1:34" ht="15" customHeight="1" x14ac:dyDescent="0.25">
      <c r="B39" s="212"/>
      <c r="C39" s="182"/>
      <c r="D39" s="182"/>
      <c r="E39" s="182"/>
      <c r="F39" s="182"/>
      <c r="G39" s="182"/>
      <c r="H39" s="182"/>
      <c r="I39" s="182"/>
      <c r="J39" s="182"/>
      <c r="K39" s="35"/>
      <c r="L39" s="202"/>
      <c r="M39" s="95"/>
      <c r="N39" s="35"/>
      <c r="T39" s="54"/>
      <c r="U39" s="7"/>
      <c r="V39" s="7"/>
      <c r="W39" s="7"/>
      <c r="X39" s="7"/>
      <c r="Y39" s="7"/>
      <c r="Z39" s="19"/>
      <c r="AA39" s="10"/>
      <c r="AB39" s="10"/>
      <c r="AC39" s="16"/>
      <c r="AD39" s="14"/>
      <c r="AE39" s="16"/>
      <c r="AF39" s="4"/>
      <c r="AG39" s="7"/>
      <c r="AH39" s="7"/>
    </row>
    <row r="40" spans="1:34" ht="15.75" customHeight="1" x14ac:dyDescent="0.25">
      <c r="B40" s="212"/>
      <c r="C40" s="182"/>
      <c r="D40" s="182"/>
      <c r="E40" s="182"/>
      <c r="F40" s="182"/>
      <c r="G40" s="182"/>
      <c r="H40" s="182"/>
      <c r="I40" s="182"/>
      <c r="J40" s="182"/>
      <c r="K40" s="35"/>
      <c r="L40" s="202"/>
      <c r="M40" s="95"/>
      <c r="N40" s="35"/>
      <c r="T40" s="39"/>
      <c r="U40" s="7"/>
      <c r="V40" s="7"/>
      <c r="W40" s="42"/>
      <c r="X40" s="7"/>
      <c r="Y40" s="7"/>
      <c r="Z40" s="19"/>
      <c r="AA40" s="10"/>
      <c r="AB40" s="10"/>
      <c r="AC40" s="16"/>
      <c r="AD40" s="14"/>
      <c r="AE40" s="16"/>
      <c r="AF40" s="4"/>
      <c r="AG40" s="7"/>
      <c r="AH40" s="7"/>
    </row>
    <row r="41" spans="1:34" ht="15.75" customHeight="1" x14ac:dyDescent="0.25">
      <c r="B41" s="212"/>
      <c r="C41" s="182"/>
      <c r="D41" s="182"/>
      <c r="E41" s="182"/>
      <c r="F41" s="182"/>
      <c r="G41" s="182"/>
      <c r="H41" s="182"/>
      <c r="I41" s="182"/>
      <c r="J41" s="182"/>
      <c r="K41" s="35"/>
      <c r="L41" s="202"/>
      <c r="M41" s="95"/>
      <c r="N41" s="35"/>
      <c r="U41" s="7"/>
      <c r="V41" s="13"/>
      <c r="W41" s="13"/>
      <c r="X41" s="13"/>
      <c r="Y41" s="12"/>
      <c r="Z41" s="7"/>
      <c r="AA41" s="10"/>
      <c r="AB41" s="10"/>
      <c r="AC41" s="16"/>
      <c r="AD41" s="14"/>
      <c r="AE41" s="16"/>
      <c r="AF41" s="4"/>
      <c r="AG41" s="7"/>
      <c r="AH41" s="7"/>
    </row>
    <row r="42" spans="1:34" s="39" customFormat="1" ht="15.75" customHeight="1" x14ac:dyDescent="0.25">
      <c r="A42" s="54"/>
      <c r="B42" s="212"/>
      <c r="C42" s="182"/>
      <c r="D42" s="182"/>
      <c r="E42" s="182"/>
      <c r="F42" s="182"/>
      <c r="G42" s="182"/>
      <c r="H42" s="182"/>
      <c r="I42" s="182"/>
      <c r="J42" s="182"/>
      <c r="K42" s="35"/>
      <c r="L42" s="202"/>
      <c r="M42" s="95"/>
      <c r="N42" s="35"/>
      <c r="S42" s="54"/>
      <c r="U42" s="7"/>
      <c r="V42" s="13"/>
      <c r="W42" s="13"/>
      <c r="X42" s="13"/>
      <c r="Y42" s="12"/>
      <c r="Z42" s="7"/>
      <c r="AA42" s="10"/>
      <c r="AB42" s="10"/>
      <c r="AC42" s="16"/>
      <c r="AD42" s="14"/>
      <c r="AE42" s="16"/>
      <c r="AF42" s="4"/>
      <c r="AG42" s="7"/>
      <c r="AH42" s="7"/>
    </row>
    <row r="43" spans="1:34" ht="15.75" customHeight="1" x14ac:dyDescent="0.25">
      <c r="B43" s="212"/>
      <c r="C43" s="182"/>
      <c r="D43" s="182"/>
      <c r="E43" s="182"/>
      <c r="F43" s="182"/>
      <c r="G43" s="182"/>
      <c r="H43" s="182"/>
      <c r="I43" s="182"/>
      <c r="J43" s="182"/>
      <c r="K43" s="35"/>
      <c r="L43" s="202"/>
      <c r="M43" s="95"/>
      <c r="N43" s="35"/>
      <c r="U43" s="7"/>
      <c r="V43" s="13"/>
      <c r="W43" s="13"/>
      <c r="X43" s="13"/>
      <c r="Y43" s="12"/>
      <c r="Z43" s="7"/>
      <c r="AA43" s="10"/>
      <c r="AB43" s="10"/>
      <c r="AC43" s="16"/>
      <c r="AD43" s="14"/>
      <c r="AE43" s="16"/>
      <c r="AF43" s="4"/>
      <c r="AG43" s="7"/>
      <c r="AH43" s="7"/>
    </row>
    <row r="44" spans="1:34" s="54" customFormat="1" ht="15.75" customHeight="1" x14ac:dyDescent="0.25">
      <c r="B44" s="212"/>
      <c r="C44" s="182"/>
      <c r="D44" s="182"/>
      <c r="E44" s="182"/>
      <c r="F44" s="182"/>
      <c r="G44" s="182"/>
      <c r="H44" s="182"/>
      <c r="I44" s="182"/>
      <c r="J44" s="182"/>
      <c r="K44" s="35"/>
      <c r="L44" s="202"/>
      <c r="M44" s="95"/>
      <c r="N44" s="35"/>
      <c r="U44" s="55"/>
      <c r="V44" s="13"/>
      <c r="W44" s="13"/>
      <c r="X44" s="13"/>
      <c r="Y44" s="12"/>
      <c r="Z44" s="55"/>
      <c r="AA44" s="10"/>
      <c r="AB44" s="10"/>
      <c r="AC44" s="16"/>
      <c r="AD44" s="14"/>
      <c r="AE44" s="16"/>
      <c r="AF44" s="4"/>
      <c r="AG44" s="55"/>
      <c r="AH44" s="55"/>
    </row>
    <row r="45" spans="1:34" s="54" customFormat="1" ht="15.75" customHeight="1" x14ac:dyDescent="0.25">
      <c r="B45" s="212"/>
      <c r="C45" s="182"/>
      <c r="D45" s="182"/>
      <c r="E45" s="182"/>
      <c r="F45" s="182"/>
      <c r="G45" s="182"/>
      <c r="H45" s="182"/>
      <c r="I45" s="182"/>
      <c r="J45" s="182"/>
      <c r="K45" s="35"/>
      <c r="L45" s="202"/>
      <c r="M45" s="95"/>
      <c r="N45" s="35"/>
      <c r="U45" s="55"/>
      <c r="V45" s="13"/>
      <c r="W45" s="13"/>
      <c r="X45" s="13"/>
      <c r="Y45" s="12"/>
      <c r="Z45" s="55"/>
      <c r="AA45" s="10"/>
      <c r="AB45" s="10"/>
      <c r="AC45" s="16"/>
      <c r="AD45" s="14"/>
      <c r="AE45" s="16"/>
      <c r="AF45" s="4"/>
      <c r="AG45" s="55"/>
      <c r="AH45" s="55"/>
    </row>
    <row r="46" spans="1:34" s="54" customFormat="1" ht="18" customHeight="1" x14ac:dyDescent="0.25">
      <c r="B46" s="212"/>
      <c r="C46" s="182"/>
      <c r="D46" s="182"/>
      <c r="E46" s="182"/>
      <c r="F46" s="182"/>
      <c r="G46" s="182"/>
      <c r="H46" s="182"/>
      <c r="I46" s="182"/>
      <c r="J46" s="182"/>
      <c r="K46" s="35"/>
      <c r="L46" s="202"/>
      <c r="M46" s="95"/>
      <c r="N46" s="35"/>
      <c r="U46" s="55"/>
      <c r="V46" s="20"/>
      <c r="W46" s="20"/>
      <c r="X46" s="20"/>
      <c r="Y46" s="12"/>
      <c r="Z46" s="19"/>
      <c r="AA46" s="10"/>
      <c r="AB46" s="10"/>
      <c r="AC46" s="16"/>
      <c r="AD46" s="14"/>
      <c r="AE46" s="16"/>
      <c r="AF46" s="4"/>
      <c r="AG46" s="55"/>
      <c r="AH46" s="55"/>
    </row>
    <row r="47" spans="1:34" ht="18" customHeight="1" x14ac:dyDescent="0.25">
      <c r="B47" s="213"/>
      <c r="C47" s="214"/>
      <c r="D47" s="214"/>
      <c r="E47" s="214"/>
      <c r="F47" s="214"/>
      <c r="G47" s="214"/>
      <c r="H47" s="214"/>
      <c r="I47" s="214"/>
      <c r="J47" s="214"/>
      <c r="K47" s="215"/>
      <c r="L47" s="216"/>
      <c r="M47" s="95"/>
      <c r="N47" s="35"/>
      <c r="U47" s="7"/>
      <c r="V47" s="7"/>
      <c r="W47" s="7"/>
      <c r="X47" s="7"/>
      <c r="Y47" s="7"/>
      <c r="Z47" s="7"/>
      <c r="AA47" s="10"/>
      <c r="AB47" s="10"/>
      <c r="AC47" s="16"/>
      <c r="AD47" s="14"/>
      <c r="AE47" s="16"/>
      <c r="AF47" s="4"/>
      <c r="AG47" s="7"/>
      <c r="AH47" s="7"/>
    </row>
    <row r="48" spans="1:34" ht="18" customHeight="1" x14ac:dyDescent="0.25">
      <c r="B48" s="320" t="s">
        <v>125</v>
      </c>
      <c r="C48" s="321"/>
      <c r="D48" s="321"/>
      <c r="E48" s="321"/>
      <c r="F48" s="321"/>
      <c r="G48" s="321"/>
      <c r="H48" s="321"/>
      <c r="I48" s="321"/>
      <c r="J48" s="321"/>
      <c r="K48" s="321"/>
      <c r="L48" s="322"/>
      <c r="M48" s="11"/>
      <c r="N48" s="11"/>
      <c r="U48" s="7"/>
      <c r="V48" s="21"/>
      <c r="W48" s="21"/>
      <c r="X48" s="19"/>
      <c r="Y48" s="7"/>
      <c r="Z48" s="19"/>
      <c r="AA48" s="10"/>
      <c r="AB48" s="10"/>
      <c r="AC48" s="16"/>
      <c r="AD48" s="14"/>
      <c r="AE48" s="16"/>
      <c r="AF48" s="4"/>
      <c r="AG48" s="7"/>
      <c r="AH48" s="7"/>
    </row>
    <row r="49" spans="2:34" ht="18" customHeight="1" x14ac:dyDescent="0.25">
      <c r="B49" s="217"/>
      <c r="C49" s="133"/>
      <c r="D49" s="133"/>
      <c r="E49" s="133"/>
      <c r="F49" s="133"/>
      <c r="G49" s="133"/>
      <c r="H49" s="133"/>
      <c r="I49" s="133"/>
      <c r="J49" s="133"/>
      <c r="K49" s="133"/>
      <c r="L49" s="218"/>
      <c r="M49" s="11"/>
      <c r="N49" s="11"/>
      <c r="U49" s="7"/>
      <c r="V49" s="7"/>
      <c r="W49" s="7"/>
      <c r="X49" s="7"/>
      <c r="Y49" s="7"/>
      <c r="Z49" s="7"/>
      <c r="AA49" s="10"/>
      <c r="AB49" s="10"/>
      <c r="AC49" s="16"/>
      <c r="AD49" s="14"/>
      <c r="AE49" s="16"/>
      <c r="AF49" s="4"/>
      <c r="AG49" s="7"/>
      <c r="AH49" s="7"/>
    </row>
    <row r="50" spans="2:34" ht="18" customHeight="1" x14ac:dyDescent="0.25">
      <c r="B50" s="317" t="s">
        <v>124</v>
      </c>
      <c r="C50" s="318"/>
      <c r="D50" s="318"/>
      <c r="E50" s="119"/>
      <c r="F50" s="119"/>
      <c r="G50" s="186"/>
      <c r="H50" s="186"/>
      <c r="I50" s="298"/>
      <c r="J50" s="298"/>
      <c r="K50" s="34"/>
      <c r="L50" s="208"/>
      <c r="M50" s="99"/>
      <c r="N50" s="59"/>
      <c r="U50" s="7"/>
      <c r="V50" s="7"/>
      <c r="W50" s="19"/>
      <c r="X50" s="19"/>
      <c r="Y50" s="7"/>
      <c r="Z50" s="19"/>
      <c r="AA50" s="10"/>
      <c r="AB50" s="10"/>
      <c r="AC50" s="16"/>
      <c r="AD50" s="14"/>
      <c r="AE50" s="16"/>
      <c r="AF50" s="4"/>
      <c r="AG50" s="7"/>
      <c r="AH50" s="7"/>
    </row>
    <row r="51" spans="2:34" ht="18" customHeight="1" x14ac:dyDescent="0.25">
      <c r="B51" s="219"/>
      <c r="C51" s="186"/>
      <c r="D51" s="186"/>
      <c r="E51" s="186"/>
      <c r="F51" s="186"/>
      <c r="G51" s="186"/>
      <c r="H51" s="186"/>
      <c r="I51" s="196"/>
      <c r="J51" s="196"/>
      <c r="K51" s="196"/>
      <c r="L51" s="210"/>
      <c r="M51" s="1"/>
      <c r="N51" s="9"/>
      <c r="O51" s="39"/>
      <c r="P51" s="39"/>
      <c r="Q51" s="39"/>
      <c r="R51" s="39"/>
      <c r="T51" s="39"/>
      <c r="U51" s="7"/>
      <c r="V51" s="7"/>
      <c r="W51" s="19"/>
      <c r="X51" s="19"/>
      <c r="Y51" s="7"/>
      <c r="Z51" s="19"/>
      <c r="AA51" s="10"/>
      <c r="AB51" s="10"/>
      <c r="AC51" s="16"/>
      <c r="AD51" s="14"/>
      <c r="AE51" s="16"/>
      <c r="AF51" s="4"/>
      <c r="AG51" s="7"/>
      <c r="AH51" s="7"/>
    </row>
    <row r="52" spans="2:34" ht="18" customHeight="1" x14ac:dyDescent="0.3">
      <c r="B52" s="325" t="s">
        <v>130</v>
      </c>
      <c r="C52" s="326"/>
      <c r="D52" s="326"/>
      <c r="E52" s="326"/>
      <c r="F52" s="326"/>
      <c r="G52" s="326"/>
      <c r="H52" s="326"/>
      <c r="I52" s="326"/>
      <c r="J52" s="126" t="s">
        <v>156</v>
      </c>
      <c r="K52" s="134" t="str">
        <f>IF(OR(K23="",K25=""),"",K23+K25)</f>
        <v/>
      </c>
      <c r="L52" s="220" t="s">
        <v>6</v>
      </c>
      <c r="M52" s="99"/>
      <c r="N52" s="59"/>
      <c r="O52" s="39"/>
      <c r="P52" s="39"/>
      <c r="Q52" s="39"/>
      <c r="R52" s="39"/>
      <c r="T52" s="39"/>
      <c r="U52" s="7"/>
      <c r="V52" s="22"/>
      <c r="W52" s="19"/>
      <c r="X52" s="19"/>
      <c r="Y52" s="7"/>
      <c r="Z52" s="19"/>
      <c r="AA52" s="10"/>
      <c r="AB52" s="10"/>
      <c r="AC52" s="16"/>
      <c r="AD52" s="14"/>
      <c r="AE52" s="16"/>
      <c r="AF52" s="4"/>
      <c r="AG52" s="7"/>
      <c r="AH52" s="7"/>
    </row>
    <row r="53" spans="2:34" ht="11.25" customHeight="1" x14ac:dyDescent="0.25">
      <c r="B53" s="219"/>
      <c r="C53" s="186"/>
      <c r="D53" s="186"/>
      <c r="E53" s="186"/>
      <c r="F53" s="186"/>
      <c r="G53" s="186"/>
      <c r="H53" s="193"/>
      <c r="I53" s="35"/>
      <c r="J53" s="35"/>
      <c r="K53" s="135"/>
      <c r="L53" s="210"/>
      <c r="M53" s="1"/>
      <c r="N53" s="9"/>
      <c r="O53" s="39"/>
      <c r="P53" s="39"/>
      <c r="Q53" s="39"/>
      <c r="R53" s="39"/>
      <c r="T53" s="39"/>
      <c r="U53" s="7"/>
      <c r="V53" s="7"/>
      <c r="W53" s="19"/>
      <c r="X53" s="19"/>
      <c r="Y53" s="7"/>
      <c r="Z53" s="19"/>
      <c r="AA53" s="10"/>
      <c r="AB53" s="10"/>
      <c r="AC53" s="16"/>
      <c r="AD53" s="14"/>
      <c r="AE53" s="16"/>
      <c r="AF53" s="4"/>
      <c r="AG53" s="7"/>
      <c r="AH53" s="7"/>
    </row>
    <row r="54" spans="2:34" ht="18" customHeight="1" x14ac:dyDescent="0.25">
      <c r="B54" s="323" t="s">
        <v>146</v>
      </c>
      <c r="C54" s="324"/>
      <c r="D54" s="324"/>
      <c r="E54" s="324"/>
      <c r="F54" s="378" t="str">
        <f>IF(AND(K54&lt;&gt;"",K54&lt;1),"Minimum Slope is 1%","")</f>
        <v/>
      </c>
      <c r="G54" s="378"/>
      <c r="H54" s="378"/>
      <c r="I54" s="378"/>
      <c r="J54" s="192" t="s">
        <v>26</v>
      </c>
      <c r="K54" s="136"/>
      <c r="L54" s="208" t="s">
        <v>4</v>
      </c>
      <c r="M54" s="1"/>
      <c r="N54" s="9"/>
      <c r="O54" s="39"/>
      <c r="P54" s="39"/>
      <c r="Q54" s="39"/>
      <c r="R54" s="39"/>
      <c r="T54" s="39"/>
      <c r="U54" s="7"/>
      <c r="V54" s="7"/>
      <c r="W54" s="19"/>
      <c r="X54" s="19"/>
      <c r="Y54" s="7"/>
      <c r="Z54" s="19"/>
      <c r="AA54" s="10"/>
      <c r="AB54" s="10"/>
      <c r="AC54" s="16"/>
      <c r="AD54" s="14"/>
      <c r="AE54" s="16"/>
      <c r="AF54" s="4"/>
      <c r="AG54" s="7"/>
      <c r="AH54" s="7"/>
    </row>
    <row r="55" spans="2:34" ht="12" customHeight="1" x14ac:dyDescent="0.25">
      <c r="B55" s="221"/>
      <c r="C55" s="193"/>
      <c r="D55" s="193"/>
      <c r="E55" s="193"/>
      <c r="F55" s="193"/>
      <c r="G55" s="193"/>
      <c r="H55" s="193"/>
      <c r="I55" s="192"/>
      <c r="J55" s="192"/>
      <c r="K55" s="132"/>
      <c r="L55" s="210"/>
      <c r="M55" s="1"/>
      <c r="N55" s="9"/>
      <c r="O55" s="39"/>
      <c r="P55" s="39"/>
      <c r="Q55" s="39"/>
      <c r="R55" s="39"/>
      <c r="T55" s="39"/>
      <c r="U55" s="7"/>
      <c r="V55" s="7"/>
      <c r="W55" s="19"/>
      <c r="X55" s="19"/>
      <c r="Y55" s="7"/>
      <c r="Z55" s="19"/>
      <c r="AA55" s="10"/>
      <c r="AB55" s="10"/>
      <c r="AC55" s="16"/>
      <c r="AD55" s="14"/>
      <c r="AE55" s="16"/>
      <c r="AF55" s="4"/>
      <c r="AG55" s="7"/>
      <c r="AH55" s="7"/>
    </row>
    <row r="56" spans="2:34" s="54" customFormat="1" ht="15.75" x14ac:dyDescent="0.25">
      <c r="B56" s="273" t="s">
        <v>157</v>
      </c>
      <c r="C56" s="274"/>
      <c r="D56" s="274"/>
      <c r="E56" s="274"/>
      <c r="F56" s="275" t="str">
        <f>IF(K56="","",IF(K56&lt;1,"Slope must be 1% minimum", ""))</f>
        <v/>
      </c>
      <c r="G56" s="275"/>
      <c r="H56" s="275"/>
      <c r="I56" s="275"/>
      <c r="J56" s="192" t="s">
        <v>26</v>
      </c>
      <c r="K56" s="137"/>
      <c r="L56" s="210" t="s">
        <v>4</v>
      </c>
      <c r="M56" s="1"/>
      <c r="N56" s="93"/>
    </row>
    <row r="57" spans="2:34" s="54" customFormat="1" ht="12" customHeight="1" x14ac:dyDescent="0.25">
      <c r="B57" s="221"/>
      <c r="C57" s="193"/>
      <c r="D57" s="193"/>
      <c r="E57" s="193"/>
      <c r="F57" s="193"/>
      <c r="G57" s="193"/>
      <c r="H57" s="193"/>
      <c r="I57" s="192"/>
      <c r="J57" s="192"/>
      <c r="K57" s="132"/>
      <c r="L57" s="210"/>
      <c r="M57" s="1"/>
      <c r="N57" s="93"/>
      <c r="U57" s="55"/>
      <c r="V57" s="55"/>
      <c r="W57" s="19"/>
      <c r="X57" s="19"/>
      <c r="Y57" s="55"/>
      <c r="Z57" s="19"/>
      <c r="AA57" s="10"/>
      <c r="AB57" s="10"/>
      <c r="AC57" s="16"/>
      <c r="AD57" s="14"/>
      <c r="AE57" s="16"/>
      <c r="AF57" s="4"/>
      <c r="AG57" s="55"/>
      <c r="AH57" s="55"/>
    </row>
    <row r="58" spans="2:34" ht="18.75" customHeight="1" x14ac:dyDescent="0.3">
      <c r="B58" s="306" t="s">
        <v>113</v>
      </c>
      <c r="C58" s="307"/>
      <c r="D58" s="307"/>
      <c r="E58" s="374" t="str">
        <f>IF(AND(K58&lt;&gt;"",K58&lt;K9), ("Basin Volume may not be less than VBMP"),(" "))</f>
        <v xml:space="preserve"> </v>
      </c>
      <c r="F58" s="374"/>
      <c r="G58" s="374"/>
      <c r="H58" s="374"/>
      <c r="I58" s="374"/>
      <c r="J58" s="181" t="s">
        <v>158</v>
      </c>
      <c r="K58" s="138"/>
      <c r="L58" s="210" t="s">
        <v>159</v>
      </c>
      <c r="M58" s="1"/>
      <c r="N58" s="9"/>
      <c r="O58" s="39"/>
      <c r="P58" s="39"/>
      <c r="Q58" s="39"/>
      <c r="R58" s="39"/>
      <c r="T58" s="39"/>
      <c r="U58" s="7"/>
      <c r="V58" s="7"/>
      <c r="W58" s="19"/>
      <c r="X58" s="19"/>
      <c r="Y58" s="7"/>
      <c r="Z58" s="19"/>
      <c r="AA58" s="10"/>
      <c r="AB58" s="10"/>
      <c r="AC58" s="16"/>
      <c r="AD58" s="14"/>
      <c r="AE58" s="16"/>
      <c r="AF58" s="4"/>
      <c r="AG58" s="7"/>
      <c r="AH58" s="7"/>
    </row>
    <row r="59" spans="2:34" ht="15.75" customHeight="1" x14ac:dyDescent="0.25">
      <c r="B59" s="219"/>
      <c r="C59" s="186"/>
      <c r="D59" s="186"/>
      <c r="E59" s="186"/>
      <c r="F59" s="186"/>
      <c r="G59" s="186"/>
      <c r="H59" s="186"/>
      <c r="I59" s="186"/>
      <c r="J59" s="186"/>
      <c r="K59" s="186"/>
      <c r="L59" s="208"/>
      <c r="M59" s="99"/>
      <c r="N59" s="59"/>
      <c r="O59" s="39"/>
      <c r="P59" s="39"/>
      <c r="Q59" s="39"/>
      <c r="R59" s="39"/>
      <c r="T59" s="39"/>
      <c r="U59" s="7"/>
      <c r="V59" s="19"/>
      <c r="W59" s="19"/>
      <c r="X59" s="19"/>
      <c r="Y59" s="19"/>
      <c r="Z59" s="19"/>
      <c r="AA59" s="15"/>
      <c r="AB59" s="7"/>
      <c r="AC59" s="23"/>
      <c r="AD59" s="24"/>
      <c r="AE59" s="4"/>
      <c r="AF59" s="4"/>
      <c r="AG59" s="7"/>
      <c r="AH59" s="7"/>
    </row>
    <row r="60" spans="2:34" ht="15.75" customHeight="1" x14ac:dyDescent="0.25">
      <c r="B60" s="219"/>
      <c r="C60" s="186"/>
      <c r="D60" s="186"/>
      <c r="E60" s="186"/>
      <c r="F60" s="186"/>
      <c r="G60" s="186"/>
      <c r="H60" s="186"/>
      <c r="I60" s="186"/>
      <c r="J60" s="186"/>
      <c r="K60" s="186"/>
      <c r="L60" s="208"/>
      <c r="M60" s="99"/>
      <c r="N60" s="59"/>
      <c r="U60" s="7"/>
      <c r="V60" s="19"/>
      <c r="W60" s="19"/>
      <c r="X60" s="19"/>
      <c r="Y60" s="19"/>
      <c r="Z60" s="19"/>
      <c r="AA60" s="7"/>
      <c r="AB60" s="7"/>
      <c r="AC60" s="13"/>
      <c r="AD60" s="13"/>
      <c r="AE60" s="7"/>
      <c r="AF60" s="4"/>
      <c r="AG60" s="7"/>
      <c r="AH60" s="7"/>
    </row>
    <row r="61" spans="2:34" ht="15.75" customHeight="1" x14ac:dyDescent="0.25">
      <c r="B61" s="219"/>
      <c r="C61" s="186"/>
      <c r="D61" s="186"/>
      <c r="E61" s="186"/>
      <c r="F61" s="186"/>
      <c r="G61" s="186"/>
      <c r="H61" s="186"/>
      <c r="I61" s="186"/>
      <c r="J61" s="186"/>
      <c r="K61" s="186"/>
      <c r="L61" s="208"/>
      <c r="M61" s="99"/>
      <c r="N61" s="59"/>
      <c r="U61" s="7"/>
      <c r="V61" s="19"/>
      <c r="W61" s="19"/>
      <c r="X61" s="19"/>
      <c r="Y61" s="19"/>
      <c r="Z61" s="19"/>
      <c r="AA61" s="7"/>
      <c r="AB61" s="7"/>
      <c r="AC61" s="13"/>
      <c r="AD61" s="13"/>
      <c r="AE61" s="4"/>
      <c r="AF61" s="4"/>
      <c r="AG61" s="7"/>
      <c r="AH61" s="7"/>
    </row>
    <row r="62" spans="2:34" ht="15.75" customHeight="1" x14ac:dyDescent="0.25">
      <c r="B62" s="219"/>
      <c r="C62" s="186"/>
      <c r="D62" s="186"/>
      <c r="E62" s="186"/>
      <c r="F62" s="186"/>
      <c r="G62" s="186"/>
      <c r="H62" s="186"/>
      <c r="I62" s="186"/>
      <c r="J62" s="186"/>
      <c r="K62" s="186"/>
      <c r="L62" s="208"/>
      <c r="M62" s="99"/>
      <c r="N62" s="59"/>
      <c r="U62" s="7"/>
      <c r="V62" s="26"/>
      <c r="W62" s="26"/>
      <c r="X62" s="26"/>
      <c r="Y62" s="26"/>
      <c r="Z62" s="26"/>
      <c r="AA62" s="26"/>
      <c r="AB62" s="7"/>
      <c r="AC62" s="13"/>
      <c r="AD62" s="13"/>
      <c r="AE62" s="7"/>
      <c r="AF62" s="4"/>
      <c r="AG62" s="7"/>
      <c r="AH62" s="7"/>
    </row>
    <row r="63" spans="2:34" ht="15.75" customHeight="1" x14ac:dyDescent="0.25">
      <c r="B63" s="219"/>
      <c r="C63" s="186"/>
      <c r="D63" s="186"/>
      <c r="E63" s="186"/>
      <c r="F63" s="186"/>
      <c r="G63" s="186"/>
      <c r="H63" s="186"/>
      <c r="I63" s="186"/>
      <c r="J63" s="186"/>
      <c r="K63" s="186"/>
      <c r="L63" s="208"/>
      <c r="M63" s="99"/>
      <c r="N63" s="59"/>
      <c r="U63" s="7"/>
      <c r="V63" s="26"/>
      <c r="W63" s="26"/>
      <c r="X63" s="26"/>
      <c r="Y63" s="26"/>
      <c r="Z63" s="26"/>
      <c r="AA63" s="26"/>
      <c r="AB63" s="7"/>
      <c r="AC63" s="7"/>
      <c r="AD63" s="25"/>
      <c r="AE63" s="5"/>
      <c r="AF63" s="4"/>
      <c r="AG63" s="7"/>
      <c r="AH63" s="7"/>
    </row>
    <row r="64" spans="2:34" ht="15.75" customHeight="1" x14ac:dyDescent="0.25">
      <c r="B64" s="219"/>
      <c r="C64" s="186"/>
      <c r="D64" s="186"/>
      <c r="E64" s="186"/>
      <c r="F64" s="186"/>
      <c r="G64" s="186"/>
      <c r="H64" s="186"/>
      <c r="I64" s="186"/>
      <c r="J64" s="186"/>
      <c r="K64" s="186"/>
      <c r="L64" s="208"/>
      <c r="M64" s="99"/>
      <c r="N64" s="59"/>
      <c r="U64" s="7"/>
      <c r="V64" s="26"/>
      <c r="W64" s="26"/>
      <c r="X64" s="26"/>
      <c r="Y64" s="26"/>
      <c r="Z64" s="26"/>
      <c r="AA64" s="7"/>
      <c r="AB64" s="7"/>
      <c r="AC64" s="7"/>
      <c r="AD64" s="25"/>
      <c r="AE64" s="5"/>
      <c r="AF64" s="4"/>
      <c r="AG64" s="7"/>
      <c r="AH64" s="7"/>
    </row>
    <row r="65" spans="2:34" ht="15.75" customHeight="1" x14ac:dyDescent="0.25">
      <c r="B65" s="219"/>
      <c r="C65" s="186"/>
      <c r="D65" s="186"/>
      <c r="E65" s="186"/>
      <c r="F65" s="186"/>
      <c r="G65" s="186"/>
      <c r="H65" s="186"/>
      <c r="I65" s="186"/>
      <c r="J65" s="186"/>
      <c r="K65" s="186"/>
      <c r="L65" s="208"/>
      <c r="M65" s="99"/>
      <c r="N65" s="59"/>
      <c r="U65" s="7"/>
      <c r="V65" s="26"/>
      <c r="W65" s="26"/>
      <c r="X65" s="26"/>
      <c r="Y65" s="26"/>
      <c r="Z65" s="26"/>
      <c r="AA65" s="26"/>
      <c r="AB65" s="7"/>
      <c r="AC65" s="26"/>
      <c r="AD65" s="26"/>
      <c r="AE65" s="26"/>
      <c r="AF65" s="4"/>
      <c r="AG65" s="7"/>
      <c r="AH65" s="7"/>
    </row>
    <row r="66" spans="2:34" ht="15.75" customHeight="1" x14ac:dyDescent="0.25">
      <c r="B66" s="207"/>
      <c r="C66" s="119"/>
      <c r="D66" s="119"/>
      <c r="E66" s="119"/>
      <c r="F66" s="119"/>
      <c r="G66" s="186"/>
      <c r="H66" s="186"/>
      <c r="I66" s="186"/>
      <c r="J66" s="186"/>
      <c r="K66" s="186"/>
      <c r="L66" s="208"/>
      <c r="M66" s="99"/>
      <c r="N66" s="59"/>
      <c r="U66" s="7"/>
      <c r="V66" s="26"/>
      <c r="W66" s="26"/>
      <c r="X66" s="26"/>
      <c r="Y66" s="26"/>
      <c r="Z66" s="26"/>
      <c r="AA66" s="26"/>
      <c r="AB66" s="7"/>
      <c r="AC66" s="26"/>
      <c r="AD66" s="26"/>
      <c r="AE66" s="26"/>
      <c r="AF66" s="4"/>
      <c r="AG66" s="7"/>
      <c r="AH66" s="7"/>
    </row>
    <row r="67" spans="2:34" ht="15.75" customHeight="1" x14ac:dyDescent="0.25">
      <c r="B67" s="207"/>
      <c r="C67" s="119"/>
      <c r="D67" s="119"/>
      <c r="E67" s="119"/>
      <c r="F67" s="119"/>
      <c r="G67" s="186"/>
      <c r="H67" s="186"/>
      <c r="I67" s="186"/>
      <c r="J67" s="186"/>
      <c r="K67" s="186"/>
      <c r="L67" s="208"/>
      <c r="M67" s="99"/>
      <c r="N67" s="59"/>
      <c r="U67" s="7"/>
      <c r="V67" s="26"/>
      <c r="W67" s="26"/>
      <c r="X67" s="26"/>
      <c r="Y67" s="26"/>
      <c r="Z67" s="26"/>
      <c r="AA67" s="26"/>
      <c r="AB67" s="7"/>
      <c r="AC67" s="26"/>
      <c r="AD67" s="26"/>
      <c r="AE67" s="7"/>
      <c r="AF67" s="4"/>
      <c r="AG67" s="7"/>
      <c r="AH67" s="7"/>
    </row>
    <row r="68" spans="2:34" s="54" customFormat="1" ht="15.75" customHeight="1" x14ac:dyDescent="0.25">
      <c r="B68" s="207"/>
      <c r="C68" s="119"/>
      <c r="D68" s="119"/>
      <c r="E68" s="119"/>
      <c r="F68" s="119"/>
      <c r="G68" s="186"/>
      <c r="H68" s="186"/>
      <c r="I68" s="186"/>
      <c r="J68" s="186"/>
      <c r="K68" s="186"/>
      <c r="L68" s="208"/>
      <c r="M68" s="99"/>
      <c r="N68" s="59"/>
      <c r="U68" s="55"/>
      <c r="V68" s="26"/>
      <c r="W68" s="26"/>
      <c r="X68" s="26"/>
      <c r="Y68" s="26"/>
      <c r="Z68" s="26"/>
      <c r="AA68" s="26"/>
      <c r="AB68" s="55"/>
      <c r="AC68" s="26"/>
      <c r="AD68" s="26"/>
      <c r="AE68" s="55"/>
      <c r="AF68" s="4"/>
      <c r="AG68" s="55"/>
      <c r="AH68" s="55"/>
    </row>
    <row r="69" spans="2:34" s="54" customFormat="1" ht="15.75" customHeight="1" x14ac:dyDescent="0.25">
      <c r="B69" s="207"/>
      <c r="C69" s="119"/>
      <c r="D69" s="119"/>
      <c r="E69" s="119"/>
      <c r="F69" s="119"/>
      <c r="G69" s="186"/>
      <c r="H69" s="186"/>
      <c r="I69" s="186"/>
      <c r="J69" s="186"/>
      <c r="K69" s="186"/>
      <c r="L69" s="208"/>
      <c r="M69" s="99"/>
      <c r="N69" s="59"/>
      <c r="U69" s="55"/>
      <c r="V69" s="26"/>
      <c r="W69" s="26"/>
      <c r="X69" s="26"/>
      <c r="Y69" s="26"/>
      <c r="Z69" s="26"/>
      <c r="AA69" s="26"/>
      <c r="AB69" s="55"/>
      <c r="AC69" s="26"/>
      <c r="AD69" s="26"/>
      <c r="AE69" s="55"/>
      <c r="AF69" s="4"/>
      <c r="AG69" s="55"/>
      <c r="AH69" s="55"/>
    </row>
    <row r="70" spans="2:34" ht="18" customHeight="1" x14ac:dyDescent="0.25">
      <c r="B70" s="311" t="s">
        <v>96</v>
      </c>
      <c r="C70" s="312"/>
      <c r="D70" s="139"/>
      <c r="E70" s="139"/>
      <c r="F70" s="186"/>
      <c r="G70" s="186"/>
      <c r="H70" s="186"/>
      <c r="I70" s="186"/>
      <c r="J70" s="186"/>
      <c r="K70" s="196"/>
      <c r="L70" s="210"/>
      <c r="M70" s="1"/>
      <c r="N70" s="9"/>
      <c r="U70" s="7"/>
      <c r="V70" s="26"/>
      <c r="W70" s="26"/>
      <c r="X70" s="26"/>
      <c r="Y70" s="26"/>
      <c r="Z70" s="26"/>
      <c r="AA70" s="7"/>
      <c r="AB70" s="7"/>
      <c r="AC70" s="7"/>
      <c r="AD70" s="25"/>
      <c r="AE70" s="5"/>
      <c r="AF70" s="4"/>
      <c r="AG70" s="7"/>
      <c r="AH70" s="7"/>
    </row>
    <row r="71" spans="2:34" ht="18" customHeight="1" x14ac:dyDescent="0.25">
      <c r="B71" s="222"/>
      <c r="C71" s="188"/>
      <c r="D71" s="139"/>
      <c r="E71" s="139"/>
      <c r="F71" s="186"/>
      <c r="G71" s="186"/>
      <c r="H71" s="186"/>
      <c r="I71" s="186"/>
      <c r="J71" s="186"/>
      <c r="K71" s="37"/>
      <c r="L71" s="210"/>
      <c r="M71" s="1"/>
      <c r="N71" s="9"/>
      <c r="U71" s="7"/>
      <c r="V71" s="27"/>
      <c r="W71" s="26"/>
      <c r="X71" s="26"/>
      <c r="Y71" s="26"/>
      <c r="Z71" s="26"/>
      <c r="AA71" s="26"/>
      <c r="AB71" s="7"/>
      <c r="AC71" s="7"/>
      <c r="AD71" s="25"/>
      <c r="AE71" s="7"/>
      <c r="AF71" s="4"/>
      <c r="AG71" s="7"/>
      <c r="AH71" s="7"/>
    </row>
    <row r="72" spans="2:34" ht="18" customHeight="1" thickBot="1" x14ac:dyDescent="0.3">
      <c r="B72" s="223"/>
      <c r="C72" s="140"/>
      <c r="D72" s="141"/>
      <c r="E72" s="140"/>
      <c r="F72" s="140"/>
      <c r="G72" s="140"/>
      <c r="H72" s="142"/>
      <c r="I72" s="142"/>
      <c r="J72" s="142"/>
      <c r="K72" s="143"/>
      <c r="L72" s="224"/>
      <c r="M72" s="100"/>
      <c r="N72" s="58"/>
    </row>
    <row r="73" spans="2:34" ht="18" customHeight="1" x14ac:dyDescent="0.25">
      <c r="B73" s="375" t="s">
        <v>11</v>
      </c>
      <c r="C73" s="376"/>
      <c r="D73" s="376"/>
      <c r="E73" s="376"/>
      <c r="F73" s="376"/>
      <c r="G73" s="376"/>
      <c r="H73" s="376"/>
      <c r="I73" s="376"/>
      <c r="J73" s="376"/>
      <c r="K73" s="376"/>
      <c r="L73" s="377"/>
      <c r="M73" s="101"/>
      <c r="N73" s="10"/>
    </row>
    <row r="74" spans="2:34" ht="15.75" x14ac:dyDescent="0.25">
      <c r="B74" s="225"/>
      <c r="C74" s="177"/>
      <c r="D74" s="188"/>
      <c r="E74" s="188"/>
      <c r="F74" s="186"/>
      <c r="G74" s="186"/>
      <c r="H74" s="186"/>
      <c r="I74" s="186"/>
      <c r="J74" s="186"/>
      <c r="K74" s="196"/>
      <c r="L74" s="210"/>
      <c r="M74" s="1"/>
      <c r="N74" s="9"/>
    </row>
    <row r="75" spans="2:34" ht="18.75" x14ac:dyDescent="0.3">
      <c r="B75" s="273" t="s">
        <v>160</v>
      </c>
      <c r="C75" s="274"/>
      <c r="D75" s="274"/>
      <c r="E75" s="145"/>
      <c r="F75" s="283" t="str">
        <f>IF(OR(K75="",K9=""),"",IF(K$75&lt;0.03*K9,"Volume must be at least 3% VBMP",IF(K$75&gt;0.05*K9,"Volume must be at most 5% VBMP"," ")))</f>
        <v/>
      </c>
      <c r="G75" s="283"/>
      <c r="H75" s="283"/>
      <c r="I75" s="283"/>
      <c r="J75" s="192" t="s">
        <v>161</v>
      </c>
      <c r="K75" s="144"/>
      <c r="L75" s="210" t="s">
        <v>159</v>
      </c>
      <c r="M75" s="1"/>
      <c r="N75" s="9"/>
    </row>
    <row r="76" spans="2:34" ht="17.25" customHeight="1" x14ac:dyDescent="0.25">
      <c r="B76" s="226"/>
      <c r="C76" s="177"/>
      <c r="D76" s="177"/>
      <c r="E76" s="177"/>
      <c r="F76" s="177"/>
      <c r="G76" s="186"/>
      <c r="H76" s="186"/>
      <c r="I76" s="192"/>
      <c r="J76" s="192"/>
      <c r="K76" s="132"/>
      <c r="L76" s="210"/>
      <c r="M76" s="1"/>
      <c r="N76" s="9"/>
    </row>
    <row r="77" spans="2:34" ht="16.5" x14ac:dyDescent="0.3">
      <c r="B77" s="226" t="s">
        <v>101</v>
      </c>
      <c r="C77" s="177"/>
      <c r="D77" s="145"/>
      <c r="E77" s="179"/>
      <c r="F77" s="179"/>
      <c r="G77" s="179"/>
      <c r="H77" s="179"/>
      <c r="I77" s="179"/>
      <c r="J77" s="192" t="s">
        <v>162</v>
      </c>
      <c r="K77" s="116"/>
      <c r="L77" s="210" t="s">
        <v>6</v>
      </c>
      <c r="M77" s="1"/>
      <c r="N77" s="9"/>
    </row>
    <row r="78" spans="2:34" s="54" customFormat="1" ht="15.75" x14ac:dyDescent="0.25">
      <c r="B78" s="226"/>
      <c r="C78" s="177"/>
      <c r="D78" s="145"/>
      <c r="E78" s="179"/>
      <c r="F78" s="179"/>
      <c r="G78" s="179"/>
      <c r="H78" s="179"/>
      <c r="I78" s="179"/>
      <c r="J78" s="192"/>
      <c r="K78" s="132"/>
      <c r="L78" s="210"/>
      <c r="M78" s="1"/>
      <c r="N78" s="9"/>
    </row>
    <row r="79" spans="2:34" s="54" customFormat="1" ht="18" x14ac:dyDescent="0.3">
      <c r="B79" s="226" t="s">
        <v>102</v>
      </c>
      <c r="C79" s="177"/>
      <c r="D79" s="145"/>
      <c r="E79" s="179"/>
      <c r="F79" s="179"/>
      <c r="G79" s="179"/>
      <c r="H79" s="179"/>
      <c r="I79" s="179"/>
      <c r="J79" s="192" t="s">
        <v>163</v>
      </c>
      <c r="K79" s="146" t="str">
        <f>IF(OR(K75="",K77=""),"",K75/K77)</f>
        <v/>
      </c>
      <c r="L79" s="227" t="s">
        <v>164</v>
      </c>
      <c r="M79" s="102"/>
      <c r="N79" s="64"/>
    </row>
    <row r="80" spans="2:34" ht="15.75" x14ac:dyDescent="0.25">
      <c r="B80" s="228"/>
      <c r="C80" s="36"/>
      <c r="D80" s="183"/>
      <c r="E80" s="183"/>
      <c r="F80" s="186"/>
      <c r="G80" s="186"/>
      <c r="H80" s="186"/>
      <c r="I80" s="186"/>
      <c r="J80" s="186"/>
      <c r="K80" s="188"/>
      <c r="L80" s="210"/>
      <c r="M80" s="1"/>
      <c r="N80" s="9"/>
      <c r="U80" s="28"/>
    </row>
    <row r="81" spans="2:14" ht="15.75" customHeight="1" x14ac:dyDescent="0.25">
      <c r="B81" s="273" t="s">
        <v>103</v>
      </c>
      <c r="C81" s="274"/>
      <c r="D81" s="274"/>
      <c r="E81" s="283" t="str">
        <f>IF(AND(K81&lt;1.5,K81&lt;&gt;""),"Width may not be less than 1.5 inches"," ")</f>
        <v xml:space="preserve"> </v>
      </c>
      <c r="F81" s="283"/>
      <c r="G81" s="283"/>
      <c r="H81" s="283"/>
      <c r="I81" s="283"/>
      <c r="J81" s="192" t="s">
        <v>43</v>
      </c>
      <c r="K81" s="128"/>
      <c r="L81" s="210" t="s">
        <v>49</v>
      </c>
      <c r="M81" s="1"/>
      <c r="N81" s="9"/>
    </row>
    <row r="82" spans="2:14" ht="15.75" x14ac:dyDescent="0.25">
      <c r="B82" s="229"/>
      <c r="C82" s="230"/>
      <c r="D82" s="230"/>
      <c r="E82" s="230"/>
      <c r="F82" s="230"/>
      <c r="G82" s="230"/>
      <c r="H82" s="230"/>
      <c r="I82" s="230"/>
      <c r="J82" s="231"/>
      <c r="K82" s="232"/>
      <c r="L82" s="233"/>
      <c r="M82" s="1"/>
      <c r="N82" s="9"/>
    </row>
    <row r="83" spans="2:14" x14ac:dyDescent="0.25">
      <c r="B83" s="276" t="s">
        <v>52</v>
      </c>
      <c r="C83" s="277"/>
      <c r="D83" s="277"/>
      <c r="E83" s="277"/>
      <c r="F83" s="277"/>
      <c r="G83" s="277"/>
      <c r="H83" s="277"/>
      <c r="I83" s="277"/>
      <c r="J83" s="277"/>
      <c r="K83" s="277"/>
      <c r="L83" s="278"/>
      <c r="M83" s="101"/>
      <c r="N83" s="10"/>
    </row>
    <row r="84" spans="2:14" s="54" customFormat="1" x14ac:dyDescent="0.25">
      <c r="B84" s="234"/>
      <c r="C84" s="10"/>
      <c r="D84" s="10"/>
      <c r="E84" s="10"/>
      <c r="F84" s="10"/>
      <c r="G84" s="10"/>
      <c r="H84" s="10"/>
      <c r="I84" s="10"/>
      <c r="J84" s="10"/>
      <c r="K84" s="10"/>
      <c r="L84" s="235"/>
      <c r="M84" s="101"/>
      <c r="N84" s="10"/>
    </row>
    <row r="85" spans="2:14" ht="15.75" x14ac:dyDescent="0.25">
      <c r="B85" s="281" t="s">
        <v>165</v>
      </c>
      <c r="C85" s="282"/>
      <c r="D85" s="282"/>
      <c r="E85" s="282"/>
      <c r="F85" s="186"/>
      <c r="G85" s="186"/>
      <c r="H85" s="186"/>
      <c r="I85" s="186"/>
      <c r="J85" s="186"/>
      <c r="K85" s="188"/>
      <c r="L85" s="210"/>
      <c r="M85" s="1"/>
      <c r="N85" s="9"/>
    </row>
    <row r="86" spans="2:14" s="54" customFormat="1" ht="15.75" x14ac:dyDescent="0.25">
      <c r="B86" s="226"/>
      <c r="C86" s="177"/>
      <c r="D86" s="188"/>
      <c r="E86" s="188"/>
      <c r="F86" s="186"/>
      <c r="G86" s="186"/>
      <c r="H86" s="186"/>
      <c r="I86" s="186"/>
      <c r="J86" s="186"/>
      <c r="K86" s="188"/>
      <c r="L86" s="210"/>
      <c r="M86" s="1"/>
      <c r="N86" s="9"/>
    </row>
    <row r="87" spans="2:14" x14ac:dyDescent="0.25">
      <c r="B87" s="294" t="s">
        <v>166</v>
      </c>
      <c r="C87" s="295"/>
      <c r="D87" s="295"/>
      <c r="E87" s="295"/>
      <c r="F87" s="275" t="str">
        <f>IF(K87="","",IF(K87&lt;24,"Depth must be 24 inch minimum", ""))</f>
        <v/>
      </c>
      <c r="G87" s="275"/>
      <c r="H87" s="275"/>
      <c r="I87" s="275"/>
      <c r="J87" s="139" t="s">
        <v>45</v>
      </c>
      <c r="K87" s="147"/>
      <c r="L87" s="208" t="s">
        <v>33</v>
      </c>
      <c r="M87" s="99"/>
      <c r="N87" s="59"/>
    </row>
    <row r="88" spans="2:14" ht="10.5" customHeight="1" x14ac:dyDescent="0.25">
      <c r="B88" s="226"/>
      <c r="C88" s="177"/>
      <c r="D88" s="188"/>
      <c r="E88" s="188"/>
      <c r="F88" s="186"/>
      <c r="G88" s="186"/>
      <c r="H88" s="186"/>
      <c r="I88" s="303"/>
      <c r="J88" s="303"/>
      <c r="K88" s="188"/>
      <c r="L88" s="210"/>
      <c r="M88" s="1"/>
      <c r="N88" s="9"/>
    </row>
    <row r="89" spans="2:14" ht="15.75" x14ac:dyDescent="0.25">
      <c r="B89" s="273" t="s">
        <v>167</v>
      </c>
      <c r="C89" s="274"/>
      <c r="D89" s="274"/>
      <c r="E89" s="177"/>
      <c r="F89" s="275" t="str">
        <f>IF(K89="","",IF(K89&lt;48,"Width must be 48 inch minimum", ""))</f>
        <v/>
      </c>
      <c r="G89" s="275"/>
      <c r="H89" s="275"/>
      <c r="I89" s="275"/>
      <c r="J89" s="192" t="s">
        <v>14</v>
      </c>
      <c r="K89" s="148"/>
      <c r="L89" s="210" t="s">
        <v>33</v>
      </c>
      <c r="M89" s="1"/>
      <c r="N89" s="9"/>
    </row>
    <row r="90" spans="2:14" s="54" customFormat="1" ht="10.5" customHeight="1" x14ac:dyDescent="0.25">
      <c r="B90" s="279"/>
      <c r="C90" s="280"/>
      <c r="D90" s="280"/>
      <c r="E90" s="280"/>
      <c r="F90" s="178"/>
      <c r="G90" s="178"/>
      <c r="H90" s="178"/>
      <c r="I90" s="178"/>
      <c r="J90" s="192"/>
      <c r="K90" s="125"/>
      <c r="L90" s="210"/>
      <c r="M90" s="1"/>
      <c r="N90" s="9"/>
    </row>
    <row r="91" spans="2:14" s="54" customFormat="1" ht="15.75" customHeight="1" x14ac:dyDescent="0.25">
      <c r="B91" s="226" t="s">
        <v>131</v>
      </c>
      <c r="C91" s="177"/>
      <c r="D91" s="177"/>
      <c r="E91" s="177"/>
      <c r="F91" s="284" t="str">
        <f>IF(K91&gt;1,"Slope must be equal to or less than 1%", "")</f>
        <v/>
      </c>
      <c r="G91" s="284"/>
      <c r="H91" s="284"/>
      <c r="I91" s="284"/>
      <c r="J91" s="192" t="s">
        <v>26</v>
      </c>
      <c r="K91" s="147"/>
      <c r="L91" s="210" t="s">
        <v>4</v>
      </c>
      <c r="M91" s="1"/>
      <c r="N91" s="9"/>
    </row>
    <row r="92" spans="2:14" s="54" customFormat="1" ht="10.5" customHeight="1" x14ac:dyDescent="0.25">
      <c r="B92" s="226"/>
      <c r="C92" s="177"/>
      <c r="D92" s="177"/>
      <c r="E92" s="177"/>
      <c r="F92" s="180"/>
      <c r="G92" s="180"/>
      <c r="H92" s="180"/>
      <c r="I92" s="180"/>
      <c r="J92" s="192"/>
      <c r="K92" s="125"/>
      <c r="L92" s="210"/>
      <c r="M92" s="1"/>
      <c r="N92" s="9"/>
    </row>
    <row r="93" spans="2:14" ht="15.75" x14ac:dyDescent="0.25">
      <c r="B93" s="281" t="s">
        <v>168</v>
      </c>
      <c r="C93" s="282"/>
      <c r="D93" s="282"/>
      <c r="E93" s="282"/>
      <c r="F93" s="192"/>
      <c r="G93" s="192"/>
      <c r="H93" s="186"/>
      <c r="I93" s="188"/>
      <c r="J93" s="188"/>
      <c r="K93" s="132"/>
      <c r="L93" s="210"/>
      <c r="M93" s="1"/>
      <c r="N93" s="9"/>
    </row>
    <row r="94" spans="2:14" s="54" customFormat="1" ht="10.5" customHeight="1" x14ac:dyDescent="0.25">
      <c r="B94" s="226"/>
      <c r="C94" s="177"/>
      <c r="D94" s="177"/>
      <c r="E94" s="192"/>
      <c r="F94" s="192"/>
      <c r="G94" s="192"/>
      <c r="H94" s="186"/>
      <c r="I94" s="188"/>
      <c r="J94" s="188"/>
      <c r="K94" s="132"/>
      <c r="L94" s="210"/>
      <c r="M94" s="1"/>
      <c r="N94" s="9"/>
    </row>
    <row r="95" spans="2:14" s="54" customFormat="1" ht="15.75" x14ac:dyDescent="0.25">
      <c r="B95" s="273" t="s">
        <v>109</v>
      </c>
      <c r="C95" s="274"/>
      <c r="D95" s="274"/>
      <c r="E95" s="274"/>
      <c r="F95" s="275" t="str">
        <f>IF(AND(K95&lt;24,K95&lt;&gt;""),"Depth must be 24 inch minimum", "")</f>
        <v/>
      </c>
      <c r="G95" s="275"/>
      <c r="H95" s="275"/>
      <c r="I95" s="275"/>
      <c r="J95" s="192" t="s">
        <v>44</v>
      </c>
      <c r="K95" s="116"/>
      <c r="L95" s="210" t="s">
        <v>33</v>
      </c>
      <c r="M95" s="1"/>
      <c r="N95" s="9"/>
    </row>
    <row r="96" spans="2:14" s="54" customFormat="1" ht="10.5" customHeight="1" x14ac:dyDescent="0.25">
      <c r="B96" s="226"/>
      <c r="C96" s="177"/>
      <c r="D96" s="177"/>
      <c r="E96" s="192"/>
      <c r="F96" s="192"/>
      <c r="G96" s="192"/>
      <c r="H96" s="186"/>
      <c r="I96" s="188"/>
      <c r="J96" s="188"/>
      <c r="K96" s="132"/>
      <c r="L96" s="210"/>
      <c r="M96" s="1"/>
      <c r="N96" s="9"/>
    </row>
    <row r="97" spans="1:34" s="54" customFormat="1" ht="15.75" x14ac:dyDescent="0.25">
      <c r="B97" s="273" t="s">
        <v>110</v>
      </c>
      <c r="C97" s="274"/>
      <c r="D97" s="274"/>
      <c r="E97" s="274"/>
      <c r="F97" s="275" t="str">
        <f>IF(AND(K97&lt;18,K97&lt;&gt;""),"Width must be 18 inch minimum", "")</f>
        <v/>
      </c>
      <c r="G97" s="275"/>
      <c r="H97" s="275"/>
      <c r="I97" s="275"/>
      <c r="J97" s="192" t="s">
        <v>14</v>
      </c>
      <c r="K97" s="148"/>
      <c r="L97" s="210" t="s">
        <v>33</v>
      </c>
      <c r="M97" s="1"/>
      <c r="N97" s="9"/>
    </row>
    <row r="98" spans="1:34" s="54" customFormat="1" ht="10.5" customHeight="1" x14ac:dyDescent="0.25">
      <c r="B98" s="226"/>
      <c r="C98" s="177"/>
      <c r="D98" s="177"/>
      <c r="E98" s="192"/>
      <c r="F98" s="192"/>
      <c r="G98" s="192"/>
      <c r="H98" s="186"/>
      <c r="I98" s="188"/>
      <c r="J98" s="188"/>
      <c r="K98" s="132"/>
      <c r="L98" s="210"/>
      <c r="M98" s="1"/>
      <c r="N98" s="9"/>
    </row>
    <row r="99" spans="1:34" ht="15.75" x14ac:dyDescent="0.25">
      <c r="B99" s="273" t="s">
        <v>147</v>
      </c>
      <c r="C99" s="274"/>
      <c r="D99" s="274"/>
      <c r="E99" s="274"/>
      <c r="F99" s="275" t="str">
        <f>IF(OR(K99&lt;=1,K99=""), "","Slope must be less than or equal to 1%")</f>
        <v/>
      </c>
      <c r="G99" s="275"/>
      <c r="H99" s="275"/>
      <c r="I99" s="275"/>
      <c r="J99" s="192" t="s">
        <v>26</v>
      </c>
      <c r="K99" s="147"/>
      <c r="L99" s="210" t="s">
        <v>4</v>
      </c>
      <c r="M99" s="1"/>
      <c r="N99" s="9"/>
    </row>
    <row r="100" spans="1:34" s="54" customFormat="1" ht="10.5" customHeight="1" x14ac:dyDescent="0.25">
      <c r="B100" s="226"/>
      <c r="C100" s="177"/>
      <c r="D100" s="177"/>
      <c r="E100" s="177"/>
      <c r="F100" s="178"/>
      <c r="G100" s="178"/>
      <c r="H100" s="178"/>
      <c r="I100" s="178"/>
      <c r="J100" s="192"/>
      <c r="K100" s="132"/>
      <c r="L100" s="210"/>
      <c r="M100" s="1"/>
      <c r="N100" s="9"/>
    </row>
    <row r="101" spans="1:34" s="54" customFormat="1" ht="15.75" x14ac:dyDescent="0.25">
      <c r="B101" s="273" t="s">
        <v>111</v>
      </c>
      <c r="C101" s="274"/>
      <c r="D101" s="274"/>
      <c r="E101" s="274"/>
      <c r="F101" s="275" t="str">
        <f>IF(K101&gt;25,"Spacing may not exceed 25 feet o.c.", "")</f>
        <v/>
      </c>
      <c r="G101" s="275"/>
      <c r="H101" s="275"/>
      <c r="I101" s="275"/>
      <c r="J101" s="192" t="s">
        <v>46</v>
      </c>
      <c r="K101" s="116"/>
      <c r="L101" s="210" t="s">
        <v>47</v>
      </c>
      <c r="M101" s="1"/>
      <c r="N101" s="9"/>
    </row>
    <row r="102" spans="1:34" s="54" customFormat="1" ht="15.75" x14ac:dyDescent="0.25">
      <c r="B102" s="226"/>
      <c r="C102" s="177"/>
      <c r="D102" s="177"/>
      <c r="E102" s="177"/>
      <c r="F102" s="178"/>
      <c r="G102" s="178"/>
      <c r="H102" s="178"/>
      <c r="I102" s="178"/>
      <c r="J102" s="192"/>
      <c r="K102" s="132"/>
      <c r="L102" s="210"/>
      <c r="M102" s="1"/>
      <c r="N102" s="9"/>
    </row>
    <row r="103" spans="1:34" s="39" customFormat="1" ht="15.75" x14ac:dyDescent="0.25">
      <c r="A103" s="54"/>
      <c r="B103" s="226"/>
      <c r="C103" s="177"/>
      <c r="D103" s="177"/>
      <c r="E103" s="177"/>
      <c r="F103" s="177"/>
      <c r="G103" s="177"/>
      <c r="H103" s="115"/>
      <c r="I103" s="145"/>
      <c r="J103" s="145"/>
      <c r="K103" s="132"/>
      <c r="L103" s="210"/>
      <c r="M103" s="1"/>
      <c r="N103" s="9"/>
      <c r="S103" s="54"/>
    </row>
    <row r="104" spans="1:34" ht="15.75" customHeight="1" x14ac:dyDescent="0.25">
      <c r="B104" s="222"/>
      <c r="C104" s="188"/>
      <c r="D104" s="186"/>
      <c r="E104" s="186"/>
      <c r="F104" s="186"/>
      <c r="G104" s="186"/>
      <c r="H104" s="115"/>
      <c r="I104" s="145"/>
      <c r="J104" s="145"/>
      <c r="K104" s="34"/>
      <c r="L104" s="210"/>
      <c r="M104" s="1"/>
      <c r="N104" s="9"/>
    </row>
    <row r="105" spans="1:34" ht="15.75" x14ac:dyDescent="0.25">
      <c r="B105" s="226"/>
      <c r="C105" s="177"/>
      <c r="D105" s="177"/>
      <c r="E105" s="177"/>
      <c r="F105" s="177"/>
      <c r="G105" s="177"/>
      <c r="H105" s="115"/>
      <c r="I105" s="145"/>
      <c r="J105" s="145"/>
      <c r="K105" s="34"/>
      <c r="L105" s="210"/>
      <c r="M105" s="1"/>
      <c r="N105" s="9"/>
    </row>
    <row r="106" spans="1:34" ht="15.75" x14ac:dyDescent="0.25">
      <c r="B106" s="222"/>
      <c r="C106" s="188"/>
      <c r="D106" s="186"/>
      <c r="E106" s="186"/>
      <c r="F106" s="186"/>
      <c r="G106" s="186"/>
      <c r="H106" s="186"/>
      <c r="I106" s="145"/>
      <c r="J106" s="145"/>
      <c r="K106" s="196"/>
      <c r="L106" s="210"/>
      <c r="M106" s="1"/>
      <c r="N106" s="9"/>
    </row>
    <row r="107" spans="1:34" ht="15.75" x14ac:dyDescent="0.25">
      <c r="B107" s="222"/>
      <c r="C107" s="188"/>
      <c r="D107" s="186"/>
      <c r="E107" s="186"/>
      <c r="F107" s="186"/>
      <c r="G107" s="186"/>
      <c r="H107" s="115"/>
      <c r="I107" s="145"/>
      <c r="J107" s="145"/>
      <c r="K107" s="149"/>
      <c r="L107" s="210"/>
      <c r="M107" s="1"/>
      <c r="N107" s="9"/>
    </row>
    <row r="108" spans="1:34" x14ac:dyDescent="0.25">
      <c r="B108" s="222"/>
      <c r="C108" s="188"/>
      <c r="D108" s="188"/>
      <c r="E108" s="188"/>
      <c r="F108" s="37"/>
      <c r="G108" s="37"/>
      <c r="H108" s="37"/>
      <c r="I108" s="145"/>
      <c r="J108" s="145"/>
      <c r="K108" s="37"/>
      <c r="L108" s="236"/>
      <c r="M108" s="99"/>
      <c r="N108" s="37"/>
    </row>
    <row r="109" spans="1:34" s="54" customFormat="1" x14ac:dyDescent="0.25">
      <c r="B109" s="226"/>
      <c r="C109" s="177"/>
      <c r="D109" s="188"/>
      <c r="E109" s="188"/>
      <c r="F109" s="188"/>
      <c r="G109" s="188"/>
      <c r="H109" s="37"/>
      <c r="I109" s="37"/>
      <c r="J109" s="37"/>
      <c r="K109" s="37"/>
      <c r="L109" s="236"/>
      <c r="M109" s="99"/>
      <c r="N109" s="37"/>
    </row>
    <row r="110" spans="1:34" s="54" customFormat="1" x14ac:dyDescent="0.25">
      <c r="B110" s="226"/>
      <c r="C110" s="177"/>
      <c r="D110" s="188"/>
      <c r="E110" s="188"/>
      <c r="F110" s="188"/>
      <c r="G110" s="188"/>
      <c r="H110" s="37"/>
      <c r="I110" s="37"/>
      <c r="J110" s="37"/>
      <c r="K110" s="37"/>
      <c r="L110" s="236"/>
      <c r="M110" s="99"/>
      <c r="N110" s="37"/>
    </row>
    <row r="111" spans="1:34" s="54" customFormat="1" x14ac:dyDescent="0.25">
      <c r="B111" s="311" t="s">
        <v>128</v>
      </c>
      <c r="C111" s="312"/>
      <c r="D111" s="312"/>
      <c r="E111" s="312"/>
      <c r="F111" s="188"/>
      <c r="G111" s="188"/>
      <c r="H111" s="37"/>
      <c r="I111" s="37"/>
      <c r="J111" s="37"/>
      <c r="K111" s="37"/>
      <c r="L111" s="236"/>
      <c r="M111" s="99"/>
      <c r="N111" s="37"/>
    </row>
    <row r="112" spans="1:34" s="54" customFormat="1" ht="18" customHeight="1" x14ac:dyDescent="0.25">
      <c r="B112" s="237"/>
      <c r="C112" s="150"/>
      <c r="D112" s="150"/>
      <c r="E112" s="150"/>
      <c r="F112" s="186"/>
      <c r="G112" s="186"/>
      <c r="H112" s="186"/>
      <c r="I112" s="186"/>
      <c r="J112" s="186"/>
      <c r="K112" s="37"/>
      <c r="L112" s="210"/>
      <c r="M112" s="1"/>
      <c r="N112" s="93"/>
      <c r="U112" s="55"/>
      <c r="V112" s="27"/>
      <c r="W112" s="26"/>
      <c r="X112" s="26"/>
      <c r="Y112" s="26"/>
      <c r="Z112" s="26"/>
      <c r="AA112" s="26"/>
      <c r="AB112" s="55"/>
      <c r="AC112" s="55"/>
      <c r="AD112" s="25"/>
      <c r="AE112" s="55"/>
      <c r="AF112" s="4"/>
      <c r="AG112" s="55"/>
      <c r="AH112" s="55"/>
    </row>
    <row r="113" spans="2:34" s="54" customFormat="1" ht="18" customHeight="1" x14ac:dyDescent="0.3">
      <c r="B113" s="290" t="s">
        <v>169</v>
      </c>
      <c r="C113" s="288"/>
      <c r="D113" s="288"/>
      <c r="E113" s="288"/>
      <c r="F113" s="288"/>
      <c r="G113" s="287" t="str">
        <f>IF(AND(K113&lt;&gt;"",K113&lt;4),"Must be 4 inches Minimum","")</f>
        <v/>
      </c>
      <c r="H113" s="287"/>
      <c r="I113" s="287"/>
      <c r="J113" s="181" t="s">
        <v>170</v>
      </c>
      <c r="K113" s="144"/>
      <c r="L113" s="227" t="s">
        <v>49</v>
      </c>
      <c r="M113" s="102"/>
      <c r="N113" s="64"/>
      <c r="U113" s="55"/>
      <c r="V113" s="27"/>
      <c r="W113" s="26"/>
      <c r="X113" s="26"/>
      <c r="Y113" s="26"/>
      <c r="Z113" s="26"/>
      <c r="AA113" s="26"/>
      <c r="AB113" s="55"/>
      <c r="AC113" s="55"/>
      <c r="AD113" s="25"/>
      <c r="AE113" s="5"/>
      <c r="AF113" s="4"/>
      <c r="AG113" s="55"/>
      <c r="AH113" s="55"/>
    </row>
    <row r="114" spans="2:34" s="54" customFormat="1" ht="18" customHeight="1" x14ac:dyDescent="0.25">
      <c r="B114" s="238"/>
      <c r="C114" s="239"/>
      <c r="D114" s="288"/>
      <c r="E114" s="288"/>
      <c r="F114" s="288"/>
      <c r="G114" s="288"/>
      <c r="H114" s="289"/>
      <c r="I114" s="289"/>
      <c r="J114" s="289"/>
      <c r="K114" s="132"/>
      <c r="L114" s="210"/>
      <c r="M114" s="1"/>
      <c r="N114" s="93"/>
      <c r="U114" s="55"/>
      <c r="V114" s="27"/>
      <c r="W114" s="26"/>
      <c r="X114" s="26"/>
      <c r="Y114" s="26"/>
      <c r="Z114" s="26"/>
      <c r="AA114" s="26"/>
      <c r="AB114" s="55"/>
      <c r="AC114" s="55"/>
      <c r="AD114" s="25"/>
      <c r="AE114" s="55"/>
      <c r="AF114" s="4"/>
      <c r="AG114" s="55"/>
      <c r="AH114" s="55"/>
    </row>
    <row r="115" spans="2:34" s="54" customFormat="1" ht="18" customHeight="1" x14ac:dyDescent="0.3">
      <c r="B115" s="273" t="s">
        <v>129</v>
      </c>
      <c r="C115" s="274"/>
      <c r="D115" s="274"/>
      <c r="E115" s="274"/>
      <c r="F115" s="274"/>
      <c r="G115" s="274"/>
      <c r="H115" s="274"/>
      <c r="I115" s="274"/>
      <c r="J115" s="151" t="s">
        <v>171</v>
      </c>
      <c r="K115" s="152"/>
      <c r="L115" s="227" t="s">
        <v>164</v>
      </c>
      <c r="M115" s="102"/>
      <c r="N115" s="64"/>
      <c r="U115" s="55"/>
      <c r="V115" s="27"/>
      <c r="W115" s="26"/>
      <c r="X115" s="26"/>
      <c r="Y115" s="26"/>
      <c r="Z115" s="26"/>
      <c r="AA115" s="26"/>
      <c r="AB115" s="55"/>
      <c r="AC115" s="55"/>
      <c r="AD115" s="25"/>
      <c r="AE115" s="55"/>
      <c r="AF115" s="4"/>
      <c r="AG115" s="55"/>
      <c r="AH115" s="55"/>
    </row>
    <row r="116" spans="2:34" s="54" customFormat="1" ht="18" customHeight="1" x14ac:dyDescent="0.25">
      <c r="B116" s="240"/>
      <c r="C116" s="192"/>
      <c r="D116" s="192"/>
      <c r="E116" s="192"/>
      <c r="F116" s="192"/>
      <c r="G116" s="192"/>
      <c r="H116" s="153"/>
      <c r="I116" s="153"/>
      <c r="J116" s="153"/>
      <c r="K116" s="132"/>
      <c r="L116" s="210"/>
      <c r="M116" s="1"/>
      <c r="N116" s="93"/>
      <c r="U116" s="55"/>
      <c r="V116" s="27"/>
      <c r="W116" s="26"/>
      <c r="X116" s="26"/>
      <c r="Y116" s="26"/>
      <c r="Z116" s="26"/>
      <c r="AA116" s="26"/>
      <c r="AB116" s="55"/>
      <c r="AC116" s="55"/>
      <c r="AD116" s="25"/>
      <c r="AE116" s="55"/>
      <c r="AF116" s="4"/>
      <c r="AG116" s="55"/>
      <c r="AH116" s="55"/>
    </row>
    <row r="117" spans="2:34" s="54" customFormat="1" ht="18" customHeight="1" x14ac:dyDescent="0.3">
      <c r="B117" s="290" t="s">
        <v>172</v>
      </c>
      <c r="C117" s="288"/>
      <c r="D117" s="288"/>
      <c r="E117" s="288"/>
      <c r="F117" s="288"/>
      <c r="G117" s="291"/>
      <c r="H117" s="291"/>
      <c r="I117" s="285" t="s">
        <v>173</v>
      </c>
      <c r="J117" s="285"/>
      <c r="K117" s="146" t="str">
        <f>IF(OR(K113="",K115=""),"",(K113/12)*K115)</f>
        <v/>
      </c>
      <c r="L117" s="227" t="s">
        <v>159</v>
      </c>
      <c r="M117" s="102"/>
      <c r="N117" s="64"/>
      <c r="U117" s="55"/>
      <c r="V117" s="27"/>
      <c r="W117" s="26"/>
      <c r="X117" s="26"/>
      <c r="Y117" s="26"/>
      <c r="Z117" s="26"/>
      <c r="AA117" s="26"/>
      <c r="AB117" s="55"/>
      <c r="AC117" s="55"/>
      <c r="AD117" s="25"/>
      <c r="AE117" s="55"/>
      <c r="AF117" s="4"/>
      <c r="AG117" s="55"/>
      <c r="AH117" s="55"/>
    </row>
    <row r="118" spans="2:34" s="54" customFormat="1" ht="18" customHeight="1" x14ac:dyDescent="0.3">
      <c r="B118" s="212"/>
      <c r="C118" s="182"/>
      <c r="D118" s="285" t="s">
        <v>174</v>
      </c>
      <c r="E118" s="285"/>
      <c r="F118" s="285"/>
      <c r="G118" s="285"/>
      <c r="H118" s="286" t="str">
        <f>IF(K117="","Enter Depth and Surface Area",IF((K117&lt;(0.005*K57)),"No. Redesign",("OK")))</f>
        <v>Enter Depth and Surface Area</v>
      </c>
      <c r="I118" s="286"/>
      <c r="J118" s="286"/>
      <c r="K118" s="286"/>
      <c r="L118" s="241"/>
      <c r="M118" s="100"/>
      <c r="N118" s="58"/>
      <c r="U118" s="55"/>
      <c r="V118" s="55"/>
      <c r="W118" s="55"/>
      <c r="X118" s="55"/>
      <c r="Y118" s="55"/>
      <c r="Z118" s="55"/>
      <c r="AA118" s="55"/>
      <c r="AB118" s="55"/>
      <c r="AC118" s="55"/>
      <c r="AD118" s="55"/>
      <c r="AE118" s="55"/>
      <c r="AF118" s="55"/>
      <c r="AG118" s="55"/>
      <c r="AH118" s="55"/>
    </row>
    <row r="119" spans="2:34" s="54" customFormat="1" x14ac:dyDescent="0.25">
      <c r="B119" s="226"/>
      <c r="C119" s="177"/>
      <c r="D119" s="188"/>
      <c r="E119" s="188"/>
      <c r="F119" s="188"/>
      <c r="G119" s="188"/>
      <c r="H119" s="37"/>
      <c r="I119" s="37"/>
      <c r="J119" s="37"/>
      <c r="K119" s="37"/>
      <c r="L119" s="236"/>
      <c r="M119" s="99"/>
      <c r="N119" s="37"/>
    </row>
    <row r="120" spans="2:34" s="54" customFormat="1" x14ac:dyDescent="0.25">
      <c r="B120" s="226" t="s">
        <v>112</v>
      </c>
      <c r="C120" s="177"/>
      <c r="D120" s="188"/>
      <c r="E120" s="188"/>
      <c r="F120" s="188"/>
      <c r="G120" s="188"/>
      <c r="H120" s="37"/>
      <c r="I120" s="37"/>
      <c r="J120" s="145"/>
      <c r="K120" s="145"/>
      <c r="L120" s="167"/>
      <c r="M120" s="103"/>
      <c r="N120" s="56"/>
    </row>
    <row r="121" spans="2:34" s="54" customFormat="1" x14ac:dyDescent="0.25">
      <c r="B121" s="226"/>
      <c r="C121" s="177"/>
      <c r="D121" s="188"/>
      <c r="E121" s="188"/>
      <c r="F121" s="188"/>
      <c r="G121" s="188"/>
      <c r="H121" s="37"/>
      <c r="I121" s="37"/>
      <c r="J121" s="37"/>
      <c r="K121" s="37"/>
      <c r="L121" s="236"/>
      <c r="M121" s="99"/>
      <c r="N121" s="37"/>
    </row>
    <row r="122" spans="2:34" s="54" customFormat="1" x14ac:dyDescent="0.25">
      <c r="B122" s="242" t="s">
        <v>48</v>
      </c>
      <c r="C122" s="154">
        <v>18</v>
      </c>
      <c r="D122" s="196" t="s">
        <v>33</v>
      </c>
      <c r="E122" s="177"/>
      <c r="F122" s="177"/>
      <c r="G122" s="188"/>
      <c r="H122" s="37"/>
      <c r="I122" s="37"/>
      <c r="J122" s="37"/>
      <c r="K122" s="37"/>
      <c r="L122" s="236"/>
      <c r="M122" s="99"/>
      <c r="N122" s="37"/>
    </row>
    <row r="123" spans="2:34" s="54" customFormat="1" x14ac:dyDescent="0.25">
      <c r="B123" s="242"/>
      <c r="C123" s="132"/>
      <c r="D123" s="313" t="str">
        <f>IF(AND(C122&lt;18,C122&lt;&gt;""),"Depth of sand may not be less than 18 inches"," ")</f>
        <v xml:space="preserve"> </v>
      </c>
      <c r="E123" s="313"/>
      <c r="F123" s="313"/>
      <c r="G123" s="313"/>
      <c r="H123" s="37"/>
      <c r="I123" s="37"/>
      <c r="J123" s="37"/>
      <c r="K123" s="37"/>
      <c r="L123" s="236"/>
      <c r="M123" s="99"/>
      <c r="N123" s="37"/>
    </row>
    <row r="124" spans="2:34" s="54" customFormat="1" ht="15.75" customHeight="1" x14ac:dyDescent="0.25">
      <c r="B124" s="226" t="s">
        <v>127</v>
      </c>
      <c r="C124" s="176"/>
      <c r="D124" s="176"/>
      <c r="E124" s="308" t="s">
        <v>126</v>
      </c>
      <c r="F124" s="308"/>
      <c r="G124" s="308"/>
      <c r="H124" s="37"/>
      <c r="I124" s="37"/>
      <c r="J124" s="37"/>
      <c r="K124" s="37"/>
      <c r="L124" s="236"/>
      <c r="M124" s="99"/>
      <c r="N124" s="37"/>
    </row>
    <row r="125" spans="2:34" s="54" customFormat="1" ht="15.75" customHeight="1" x14ac:dyDescent="0.25">
      <c r="B125" s="226"/>
      <c r="C125" s="177"/>
      <c r="D125" s="177"/>
      <c r="E125" s="177"/>
      <c r="F125" s="177"/>
      <c r="G125" s="188"/>
      <c r="H125" s="37"/>
      <c r="I125" s="37"/>
      <c r="J125" s="37"/>
      <c r="K125" s="37"/>
      <c r="L125" s="236"/>
      <c r="M125" s="99"/>
      <c r="N125" s="37"/>
    </row>
    <row r="126" spans="2:34" s="54" customFormat="1" ht="15.75" customHeight="1" x14ac:dyDescent="0.25">
      <c r="B126" s="240" t="s">
        <v>175</v>
      </c>
      <c r="C126" s="155">
        <v>6</v>
      </c>
      <c r="D126" s="196" t="s">
        <v>49</v>
      </c>
      <c r="E126" s="192" t="s">
        <v>41</v>
      </c>
      <c r="F126" s="155">
        <v>6</v>
      </c>
      <c r="G126" s="177" t="s">
        <v>50</v>
      </c>
      <c r="H126" s="37"/>
      <c r="I126" s="37"/>
      <c r="J126" s="37"/>
      <c r="K126" s="37"/>
      <c r="L126" s="236"/>
      <c r="M126" s="99"/>
      <c r="N126" s="37"/>
    </row>
    <row r="127" spans="2:34" s="54" customFormat="1" ht="15.75" customHeight="1" x14ac:dyDescent="0.25">
      <c r="B127" s="226"/>
      <c r="C127" s="283" t="str">
        <f>IF(AND(C126&lt;6,C126&lt;&gt;""),"6 inch minimum diameter", " ")</f>
        <v xml:space="preserve"> </v>
      </c>
      <c r="D127" s="283"/>
      <c r="E127" s="355" t="str">
        <f>IF(K115&gt;=500,IF(AND($F$126&gt;20,$F$126&lt;&gt;""),"Maximum spacing 20 feet on center.",""),IF(AND($F$126&gt;10,$F$126&lt;&gt;""),"Maximum spacing 10 feet on center when Area of Bottom Stage is less than 500 sf.",""))</f>
        <v/>
      </c>
      <c r="F127" s="355"/>
      <c r="G127" s="355"/>
      <c r="H127" s="37"/>
      <c r="I127" s="37"/>
      <c r="J127" s="37"/>
      <c r="K127" s="37"/>
      <c r="L127" s="236"/>
      <c r="M127" s="99"/>
      <c r="N127" s="37"/>
    </row>
    <row r="128" spans="2:34" s="54" customFormat="1" x14ac:dyDescent="0.25">
      <c r="B128" s="226"/>
      <c r="C128" s="190"/>
      <c r="D128" s="190"/>
      <c r="E128" s="355"/>
      <c r="F128" s="355"/>
      <c r="G128" s="355"/>
      <c r="H128" s="37"/>
      <c r="I128" s="37"/>
      <c r="J128" s="37"/>
      <c r="K128" s="37"/>
      <c r="L128" s="236"/>
      <c r="M128" s="99"/>
      <c r="N128" s="37"/>
    </row>
    <row r="129" spans="2:34" s="54" customFormat="1" x14ac:dyDescent="0.25">
      <c r="B129" s="243"/>
      <c r="C129" s="189"/>
      <c r="D129" s="189"/>
      <c r="E129" s="355"/>
      <c r="F129" s="355"/>
      <c r="G129" s="355"/>
      <c r="H129" s="37"/>
      <c r="I129" s="37"/>
      <c r="J129" s="37"/>
      <c r="K129" s="37"/>
      <c r="L129" s="236"/>
      <c r="M129" s="99"/>
      <c r="N129" s="37"/>
    </row>
    <row r="130" spans="2:34" s="54" customFormat="1" ht="15.95" customHeight="1" x14ac:dyDescent="0.25">
      <c r="B130" s="244"/>
      <c r="C130" s="245"/>
      <c r="D130" s="245"/>
      <c r="E130" s="245"/>
      <c r="F130" s="246"/>
      <c r="G130" s="246"/>
      <c r="H130" s="246"/>
      <c r="I130" s="246"/>
      <c r="J130" s="246"/>
      <c r="K130" s="246"/>
      <c r="L130" s="247"/>
      <c r="M130" s="104"/>
      <c r="N130" s="57"/>
    </row>
    <row r="131" spans="2:34" ht="14.85" customHeight="1" x14ac:dyDescent="0.25">
      <c r="B131" s="276" t="s">
        <v>51</v>
      </c>
      <c r="C131" s="277"/>
      <c r="D131" s="277"/>
      <c r="E131" s="277"/>
      <c r="F131" s="277"/>
      <c r="G131" s="277"/>
      <c r="H131" s="277"/>
      <c r="I131" s="277"/>
      <c r="J131" s="277"/>
      <c r="K131" s="277"/>
      <c r="L131" s="278"/>
      <c r="M131" s="101"/>
      <c r="N131" s="10"/>
    </row>
    <row r="132" spans="2:34" ht="14.85" customHeight="1" x14ac:dyDescent="0.25">
      <c r="B132" s="250"/>
      <c r="C132" s="10"/>
      <c r="D132" s="10"/>
      <c r="E132" s="10"/>
      <c r="F132" s="10"/>
      <c r="G132" s="10"/>
      <c r="H132" s="10"/>
      <c r="I132" s="10"/>
      <c r="J132" s="10"/>
      <c r="K132" s="10"/>
      <c r="L132" s="235"/>
      <c r="M132" s="101"/>
      <c r="N132" s="10"/>
    </row>
    <row r="133" spans="2:34" ht="14.85" customHeight="1" x14ac:dyDescent="0.25">
      <c r="B133" s="251" t="s">
        <v>97</v>
      </c>
      <c r="C133" s="34"/>
      <c r="D133" s="34"/>
      <c r="E133" s="34"/>
      <c r="F133" s="34"/>
      <c r="G133" s="34"/>
      <c r="H133" s="34"/>
      <c r="I133" s="34"/>
      <c r="J133" s="34"/>
      <c r="K133" s="34"/>
      <c r="L133" s="252"/>
      <c r="M133" s="105"/>
      <c r="N133" s="34"/>
    </row>
    <row r="134" spans="2:34" s="54" customFormat="1" ht="14.85" customHeight="1" x14ac:dyDescent="0.25">
      <c r="B134" s="353" t="s">
        <v>184</v>
      </c>
      <c r="C134" s="354"/>
      <c r="D134" s="354"/>
      <c r="E134" s="354"/>
      <c r="F134" s="34"/>
      <c r="G134" s="34"/>
      <c r="H134" s="34"/>
      <c r="I134" s="34"/>
      <c r="J134" s="34"/>
      <c r="K134" s="34"/>
      <c r="L134" s="252"/>
      <c r="M134" s="105"/>
      <c r="N134" s="34"/>
    </row>
    <row r="135" spans="2:34" ht="15" customHeight="1" x14ac:dyDescent="0.25">
      <c r="B135" s="353"/>
      <c r="C135" s="354"/>
      <c r="D135" s="354"/>
      <c r="E135" s="354"/>
      <c r="F135" s="34"/>
      <c r="G135" s="34"/>
      <c r="H135" s="34"/>
      <c r="I135" s="34"/>
      <c r="J135" s="34"/>
      <c r="K135" s="34"/>
      <c r="L135" s="252"/>
      <c r="M135" s="105"/>
      <c r="N135" s="34"/>
    </row>
    <row r="136" spans="2:34" ht="15" customHeight="1" x14ac:dyDescent="0.25">
      <c r="B136" s="353"/>
      <c r="C136" s="354"/>
      <c r="D136" s="354"/>
      <c r="E136" s="354"/>
      <c r="F136" s="186"/>
      <c r="G136" s="186"/>
      <c r="H136" s="186"/>
      <c r="I136" s="186"/>
      <c r="J136" s="186"/>
      <c r="K136" s="186"/>
      <c r="L136" s="208"/>
      <c r="M136" s="99"/>
      <c r="N136" s="59"/>
    </row>
    <row r="137" spans="2:34" ht="15" customHeight="1" x14ac:dyDescent="0.25">
      <c r="B137" s="353"/>
      <c r="C137" s="354"/>
      <c r="D137" s="354"/>
      <c r="E137" s="354"/>
      <c r="F137" s="186"/>
      <c r="G137" s="186"/>
      <c r="H137" s="186"/>
      <c r="I137" s="186"/>
      <c r="J137" s="186"/>
      <c r="K137" s="186"/>
      <c r="L137" s="208"/>
      <c r="M137" s="99"/>
      <c r="N137" s="59"/>
    </row>
    <row r="138" spans="2:34" ht="15" customHeight="1" x14ac:dyDescent="0.25">
      <c r="B138" s="353"/>
      <c r="C138" s="354"/>
      <c r="D138" s="354"/>
      <c r="E138" s="354"/>
      <c r="F138" s="186"/>
      <c r="G138" s="186"/>
      <c r="H138" s="186"/>
      <c r="I138" s="186"/>
      <c r="J138" s="186"/>
      <c r="K138" s="186"/>
      <c r="L138" s="208"/>
      <c r="M138" s="99"/>
      <c r="N138" s="59"/>
      <c r="X138" s="82">
        <v>0.67900000000000005</v>
      </c>
    </row>
    <row r="139" spans="2:34" ht="15" customHeight="1" x14ac:dyDescent="0.25">
      <c r="B139" s="353"/>
      <c r="C139" s="354"/>
      <c r="D139" s="354"/>
      <c r="E139" s="354"/>
      <c r="F139" s="186"/>
      <c r="G139" s="186"/>
      <c r="H139" s="186"/>
      <c r="I139" s="156"/>
      <c r="J139" s="156"/>
      <c r="K139" s="156"/>
      <c r="L139" s="253"/>
      <c r="M139" s="291" t="s">
        <v>121</v>
      </c>
      <c r="N139" s="291"/>
      <c r="O139" s="291"/>
      <c r="P139" s="291"/>
      <c r="Q139" s="291"/>
      <c r="R139" s="291"/>
      <c r="X139" s="82">
        <v>0.83599999999999997</v>
      </c>
    </row>
    <row r="140" spans="2:34" ht="15" customHeight="1" x14ac:dyDescent="0.25">
      <c r="B140" s="353"/>
      <c r="C140" s="354"/>
      <c r="D140" s="354"/>
      <c r="E140" s="354"/>
      <c r="F140" s="186"/>
      <c r="G140" s="186"/>
      <c r="H140" s="186"/>
      <c r="I140" s="156"/>
      <c r="J140" s="156"/>
      <c r="K140" s="156"/>
      <c r="L140" s="253"/>
      <c r="M140" s="248"/>
      <c r="N140" s="87" t="s">
        <v>119</v>
      </c>
      <c r="O140" s="88" t="s">
        <v>116</v>
      </c>
      <c r="P140" s="89" t="s">
        <v>117</v>
      </c>
      <c r="Q140" s="89" t="s">
        <v>118</v>
      </c>
      <c r="T140" s="54"/>
      <c r="X140" s="82">
        <v>0.998</v>
      </c>
    </row>
    <row r="141" spans="2:34" ht="15" customHeight="1" x14ac:dyDescent="0.25">
      <c r="B141" s="353"/>
      <c r="C141" s="354"/>
      <c r="D141" s="354"/>
      <c r="E141" s="354"/>
      <c r="F141" s="186"/>
      <c r="G141" s="186"/>
      <c r="H141" s="186"/>
      <c r="I141" s="186"/>
      <c r="J141" s="186"/>
      <c r="K141" s="186"/>
      <c r="L141" s="208"/>
      <c r="M141" s="220"/>
      <c r="N141" s="84">
        <f>MATCH(K23,H148:H178,1)</f>
        <v>1</v>
      </c>
      <c r="O141" s="85">
        <f>INDEX($H$148:$K178,$N141,1)</f>
        <v>0</v>
      </c>
      <c r="P141" s="85">
        <f>INDEX($H$148:$K178,$N141,4)</f>
        <v>0</v>
      </c>
      <c r="Q141" s="86"/>
      <c r="U141" s="7"/>
      <c r="V141" s="7"/>
      <c r="W141" s="7"/>
      <c r="X141" s="82">
        <v>1.1659999999999999</v>
      </c>
      <c r="Y141" s="7"/>
      <c r="Z141" s="7"/>
      <c r="AA141" s="7"/>
      <c r="AB141" s="7"/>
      <c r="AC141" s="7"/>
      <c r="AD141" s="7"/>
      <c r="AE141" s="7"/>
      <c r="AF141" s="7"/>
      <c r="AG141" s="7"/>
      <c r="AH141" s="7"/>
    </row>
    <row r="142" spans="2:34" ht="15" customHeight="1" x14ac:dyDescent="0.25">
      <c r="B142" s="353"/>
      <c r="C142" s="354"/>
      <c r="D142" s="354"/>
      <c r="E142" s="354"/>
      <c r="F142" s="186"/>
      <c r="G142" s="186"/>
      <c r="H142" s="186"/>
      <c r="I142" s="186"/>
      <c r="J142" s="186"/>
      <c r="K142" s="186"/>
      <c r="L142" s="208"/>
      <c r="M142" s="99"/>
      <c r="N142" s="86"/>
      <c r="O142" s="90">
        <f>K23</f>
        <v>0</v>
      </c>
      <c r="P142" s="91">
        <f>((P143-P141)/(O143-O141))*(O142-O141)+P141</f>
        <v>0</v>
      </c>
      <c r="Q142" s="92">
        <f>ROUNDDOWN(P142*43560,-1)</f>
        <v>0</v>
      </c>
      <c r="R142" t="s">
        <v>120</v>
      </c>
      <c r="U142" s="7"/>
      <c r="V142" s="10"/>
      <c r="W142" s="10"/>
      <c r="X142" s="10"/>
      <c r="Y142" s="10"/>
      <c r="Z142" s="10"/>
      <c r="AA142" s="10"/>
      <c r="AB142" s="10"/>
      <c r="AC142" s="10"/>
      <c r="AD142" s="10"/>
      <c r="AE142" s="10"/>
      <c r="AF142" s="10"/>
      <c r="AG142" s="10"/>
      <c r="AH142" s="7"/>
    </row>
    <row r="143" spans="2:34" s="8" customFormat="1" ht="15" customHeight="1" thickBot="1" x14ac:dyDescent="0.3">
      <c r="B143" s="353"/>
      <c r="C143" s="354"/>
      <c r="D143" s="354"/>
      <c r="E143" s="354"/>
      <c r="F143" s="186"/>
      <c r="G143" s="186"/>
      <c r="H143" s="186"/>
      <c r="I143" s="186"/>
      <c r="J143" s="186"/>
      <c r="K143" s="186"/>
      <c r="L143" s="208"/>
      <c r="M143" s="99"/>
      <c r="N143" s="84">
        <f>N141+1</f>
        <v>2</v>
      </c>
      <c r="O143" s="85">
        <f>INDEX($H$148:$K180,$N143,1)</f>
        <v>0.33</v>
      </c>
      <c r="P143" s="85">
        <f>INDEX($H$148:$K180,$N143,4)</f>
        <v>0</v>
      </c>
      <c r="Q143" s="86"/>
      <c r="U143" s="7"/>
      <c r="V143" s="7"/>
      <c r="W143" s="7"/>
      <c r="X143" s="7"/>
      <c r="Y143" s="7"/>
      <c r="Z143" s="7"/>
      <c r="AA143" s="7"/>
      <c r="AB143" s="7"/>
      <c r="AC143" s="7"/>
      <c r="AD143" s="7"/>
      <c r="AE143" s="7"/>
      <c r="AF143" s="7"/>
      <c r="AG143" s="7"/>
      <c r="AH143" s="7"/>
    </row>
    <row r="144" spans="2:34" s="8" customFormat="1" ht="15" customHeight="1" thickTop="1" thickBot="1" x14ac:dyDescent="0.3">
      <c r="B144" s="353"/>
      <c r="C144" s="354"/>
      <c r="D144" s="354"/>
      <c r="E144" s="354"/>
      <c r="F144" s="10"/>
      <c r="G144" s="10"/>
      <c r="H144" s="370" t="str">
        <f>IF(S144="Input values missing","All values on this worksheet must be filled out to use this calculator",IF(S144="Incomplete Data Provided","* Enter volume information below covering full basin depth",IF(Q144="Inadequate design","* WARNING Basin Stage / Storage is insufficient. Redesign Basin to hold Vbmp at the specified Basin Depth.","")))</f>
        <v>All values on this worksheet must be filled out to use this calculator</v>
      </c>
      <c r="I144" s="370"/>
      <c r="J144" s="370"/>
      <c r="K144" s="370"/>
      <c r="L144" s="371"/>
      <c r="M144" s="101"/>
      <c r="N144" s="10"/>
      <c r="P144" s="8" t="s">
        <v>122</v>
      </c>
      <c r="Q144" s="356" t="str">
        <f>IF(Q142&gt;K9,"OK","INADEQUATE DESIGN")</f>
        <v>INADEQUATE DESIGN</v>
      </c>
      <c r="R144" s="356"/>
      <c r="S144" s="365" t="str">
        <f>IF(OR(D160="",D162="",D164="",K23="",K9=""),"Input values missing",IF(INDEX(H148:H178,MATCH(MAX(K148:K178),K148:K178,0),1)&gt;=K23,"Complete Data","Incomplete Data Provided"))</f>
        <v>Input values missing</v>
      </c>
      <c r="T144" s="365"/>
      <c r="U144" s="7"/>
      <c r="V144" s="19"/>
      <c r="W144" s="19"/>
      <c r="X144" s="19"/>
      <c r="Y144" s="19"/>
      <c r="Z144" s="19"/>
      <c r="AA144" s="10"/>
      <c r="AB144" s="10"/>
      <c r="AC144" s="26"/>
      <c r="AD144" s="26"/>
      <c r="AE144" s="26"/>
      <c r="AF144" s="10"/>
      <c r="AG144" s="10"/>
      <c r="AH144" s="7"/>
    </row>
    <row r="145" spans="1:34" ht="14.85" customHeight="1" thickTop="1" thickBot="1" x14ac:dyDescent="0.3">
      <c r="B145" s="254"/>
      <c r="C145" s="157"/>
      <c r="D145" s="157"/>
      <c r="E145" s="188"/>
      <c r="F145" s="186"/>
      <c r="G145" s="186"/>
      <c r="H145" s="372"/>
      <c r="I145" s="372"/>
      <c r="J145" s="372"/>
      <c r="K145" s="372"/>
      <c r="L145" s="373"/>
      <c r="M145" s="1"/>
      <c r="N145" s="9"/>
      <c r="U145" s="7"/>
      <c r="V145" s="19"/>
      <c r="W145" s="19"/>
      <c r="X145" s="10"/>
      <c r="Y145" s="10"/>
      <c r="Z145" s="7"/>
      <c r="AA145" s="7"/>
      <c r="AB145" s="7"/>
      <c r="AC145" s="13"/>
      <c r="AD145" s="13"/>
      <c r="AE145" s="12"/>
      <c r="AF145" s="4"/>
      <c r="AG145" s="7"/>
      <c r="AH145" s="7"/>
    </row>
    <row r="146" spans="1:34" ht="14.85" customHeight="1" x14ac:dyDescent="0.25">
      <c r="B146" s="348" t="s">
        <v>98</v>
      </c>
      <c r="C146" s="349"/>
      <c r="D146" s="177"/>
      <c r="E146" s="177"/>
      <c r="F146" s="177"/>
      <c r="G146" s="196"/>
      <c r="H146" s="363" t="s">
        <v>132</v>
      </c>
      <c r="I146" s="363"/>
      <c r="J146" s="296" t="s">
        <v>16</v>
      </c>
      <c r="K146" s="296" t="s">
        <v>17</v>
      </c>
      <c r="L146" s="361" t="s">
        <v>176</v>
      </c>
      <c r="M146" s="357" t="s">
        <v>137</v>
      </c>
      <c r="N146" s="359"/>
      <c r="O146" s="109"/>
      <c r="P146" s="69"/>
      <c r="Q146" s="69"/>
      <c r="R146" s="69"/>
      <c r="S146" s="69"/>
      <c r="T146" s="69"/>
      <c r="U146" s="70"/>
      <c r="V146" s="71"/>
      <c r="W146" s="71"/>
      <c r="X146" s="10"/>
      <c r="Y146" s="10"/>
      <c r="Z146" s="7"/>
      <c r="AA146" s="7"/>
      <c r="AB146" s="7"/>
      <c r="AC146" s="13"/>
      <c r="AD146" s="13"/>
      <c r="AE146" s="32"/>
      <c r="AF146" s="32"/>
      <c r="AG146" s="7"/>
      <c r="AH146" s="7"/>
    </row>
    <row r="147" spans="1:34" ht="20.100000000000001" customHeight="1" x14ac:dyDescent="0.3">
      <c r="B147" s="221"/>
      <c r="C147" s="274" t="s">
        <v>177</v>
      </c>
      <c r="D147" s="274"/>
      <c r="E147" s="196"/>
      <c r="F147" s="196"/>
      <c r="G147" s="196"/>
      <c r="H147" s="364"/>
      <c r="I147" s="364"/>
      <c r="J147" s="297"/>
      <c r="K147" s="297"/>
      <c r="L147" s="362"/>
      <c r="M147" s="358"/>
      <c r="N147" s="360"/>
      <c r="O147" s="69"/>
      <c r="P147" s="69"/>
      <c r="Q147" s="69"/>
      <c r="R147" s="366" t="s">
        <v>138</v>
      </c>
      <c r="S147" s="366"/>
      <c r="T147" s="366"/>
      <c r="U147" s="366"/>
      <c r="V147" s="366"/>
      <c r="W147" s="71"/>
      <c r="X147" s="10"/>
      <c r="Y147" s="10"/>
      <c r="Z147" s="7"/>
      <c r="AA147" s="7"/>
      <c r="AB147" s="7"/>
      <c r="AC147" s="13"/>
      <c r="AD147" s="12"/>
      <c r="AE147" s="12"/>
      <c r="AF147" s="12"/>
      <c r="AG147" s="7"/>
      <c r="AH147" s="7"/>
    </row>
    <row r="148" spans="1:34" ht="14.85" customHeight="1" x14ac:dyDescent="0.25">
      <c r="B148" s="221"/>
      <c r="C148" s="196"/>
      <c r="D148" s="196"/>
      <c r="E148" s="196"/>
      <c r="F148" s="177"/>
      <c r="G148" s="196"/>
      <c r="H148" s="351">
        <v>0</v>
      </c>
      <c r="I148" s="352"/>
      <c r="J148" s="158">
        <v>0</v>
      </c>
      <c r="K148" s="158">
        <v>0</v>
      </c>
      <c r="L148" s="255"/>
      <c r="M148" s="249">
        <f>IF(T$148&gt;K147,SUM(L149:L$177),0)</f>
        <v>0</v>
      </c>
      <c r="N148" s="72"/>
      <c r="O148" s="69"/>
      <c r="P148" s="69"/>
      <c r="Q148" s="69"/>
      <c r="R148" s="69"/>
      <c r="S148" s="94" t="s">
        <v>144</v>
      </c>
      <c r="T148" s="109" t="str">
        <f>IF(K9="","",K9/43560)</f>
        <v/>
      </c>
      <c r="U148" s="73"/>
      <c r="V148" s="73"/>
      <c r="W148" s="73"/>
      <c r="X148" s="54"/>
      <c r="Y148" s="54"/>
      <c r="Z148" s="54"/>
      <c r="AA148" s="7"/>
      <c r="AB148" s="7"/>
      <c r="AC148" s="7"/>
      <c r="AD148" s="7"/>
      <c r="AE148" s="7"/>
      <c r="AF148" s="7"/>
      <c r="AG148" s="7"/>
      <c r="AH148" s="7"/>
    </row>
    <row r="149" spans="1:34" s="8" customFormat="1" ht="14.85" customHeight="1" x14ac:dyDescent="0.25">
      <c r="B149" s="219" t="s">
        <v>100</v>
      </c>
      <c r="C149" s="145"/>
      <c r="D149" s="145"/>
      <c r="E149" s="145"/>
      <c r="F149" s="145"/>
      <c r="G149" s="159"/>
      <c r="H149" s="346">
        <v>0.33</v>
      </c>
      <c r="I149" s="347"/>
      <c r="J149" s="158" t="str">
        <f>IF(K$31="","",IF(Sheet1!AG5=0,"",Sheet1!AG5))</f>
        <v/>
      </c>
      <c r="K149" s="269"/>
      <c r="L149" s="256" t="str">
        <f>IF(OR(J149=0,ISTEXT(J148),J148="",K148&gt;T$148, J149=""),"",IF(K149-K148=0,"",IF(K149-K148&lt;0,"",(K149-K148)*12.1/((J149+J148)/2))))</f>
        <v/>
      </c>
      <c r="M149" s="249">
        <f>IF(T$148&gt;K148,SUM(L150:L$177),0)</f>
        <v>0</v>
      </c>
      <c r="N149" s="72"/>
      <c r="O149" s="69"/>
      <c r="P149" s="69"/>
      <c r="Q149" s="69"/>
      <c r="R149" s="94" t="s">
        <v>139</v>
      </c>
      <c r="S149" s="109">
        <f>INDEX(H148:K178,MATCH(O142,H148:H178,1)-1,4)</f>
        <v>0</v>
      </c>
      <c r="T149" s="74"/>
      <c r="U149" s="75" t="s">
        <v>141</v>
      </c>
      <c r="V149" s="75">
        <f>INDEX(H148:K178,MATCH(O142,H148:H178,1)-1,1)</f>
        <v>0.33</v>
      </c>
      <c r="W149" s="75"/>
      <c r="X149" s="83">
        <f t="shared" ref="X149:X159" si="0">IF(J149=0,IF(K149&gt;0,1,0),0)</f>
        <v>0</v>
      </c>
      <c r="Y149" s="54">
        <f t="shared" ref="Y149:Y159" si="1">IF(AND(K149&lt;&gt;0,K149&lt;&gt;"",OR(K150=0,K150=""),K149&lt;(K$9/43560)),1,0)</f>
        <v>0</v>
      </c>
      <c r="Z149" s="56"/>
      <c r="AA149" s="7"/>
      <c r="AB149" s="7"/>
      <c r="AC149" s="7"/>
      <c r="AD149" s="7"/>
      <c r="AE149" s="7"/>
      <c r="AF149" s="7"/>
      <c r="AG149" s="7"/>
      <c r="AH149" s="7"/>
    </row>
    <row r="150" spans="1:34" s="8" customFormat="1" ht="14.85" customHeight="1" x14ac:dyDescent="0.25">
      <c r="B150" s="257"/>
      <c r="C150" s="145"/>
      <c r="D150" s="145"/>
      <c r="E150" s="145"/>
      <c r="F150" s="159"/>
      <c r="G150" s="159"/>
      <c r="H150" s="346">
        <v>0.67</v>
      </c>
      <c r="I150" s="347"/>
      <c r="J150" s="158" t="str">
        <f>IF(K$31="","",IF(Sheet1!AG6=0,"",Sheet1!AG6))</f>
        <v/>
      </c>
      <c r="K150" s="269"/>
      <c r="L150" s="256" t="str">
        <f t="shared" ref="L150:L161" si="2">IF(OR(J150=0,ISTEXT(J149),J149="",K149&gt;T$148),"",IF(K150-K149=0,"",IF(K150-K149&lt;0,"",(K150-K149)*12.1/((J150+J149)/2))))</f>
        <v/>
      </c>
      <c r="M150" s="249">
        <f>IF(T$148&gt;K149,SUM(L151:L$177),0)</f>
        <v>0</v>
      </c>
      <c r="N150" s="72"/>
      <c r="O150" s="69"/>
      <c r="P150" s="69"/>
      <c r="Q150" s="69"/>
      <c r="R150" s="94" t="s">
        <v>140</v>
      </c>
      <c r="S150" s="109">
        <f>INDEX(H148:K178,MATCH(O142,H148:H178,1),4)</f>
        <v>0</v>
      </c>
      <c r="T150" s="69"/>
      <c r="U150" s="75" t="s">
        <v>142</v>
      </c>
      <c r="V150" s="75">
        <f>INDEX(H148:K178,MATCH(O142,H148:H178,1),1)</f>
        <v>0</v>
      </c>
      <c r="W150" s="75"/>
      <c r="X150" s="83">
        <f t="shared" si="0"/>
        <v>0</v>
      </c>
      <c r="Y150" s="54">
        <f t="shared" si="1"/>
        <v>0</v>
      </c>
      <c r="Z150" s="56"/>
      <c r="AA150" s="7"/>
      <c r="AB150" s="7"/>
      <c r="AC150" s="7"/>
      <c r="AD150" s="7"/>
      <c r="AE150" s="7"/>
      <c r="AF150" s="7"/>
      <c r="AG150" s="7"/>
      <c r="AH150" s="7"/>
    </row>
    <row r="151" spans="1:34" ht="14.85" customHeight="1" x14ac:dyDescent="0.25">
      <c r="B151" s="257"/>
      <c r="C151" s="192" t="s">
        <v>38</v>
      </c>
      <c r="D151" s="160">
        <v>0.66</v>
      </c>
      <c r="E151" s="350" t="str">
        <f>IF(D153=0.66," ",IF(D153=0," ","Warning. A value for C other than the default has been entered. This value must be justified."))</f>
        <v xml:space="preserve"> </v>
      </c>
      <c r="F151" s="350"/>
      <c r="G151" s="350"/>
      <c r="H151" s="346">
        <v>1</v>
      </c>
      <c r="I151" s="347"/>
      <c r="J151" s="158" t="str">
        <f>IF(K$31="","",IF(Sheet1!AG7=0,"",Sheet1!AG7))</f>
        <v/>
      </c>
      <c r="K151" s="269"/>
      <c r="L151" s="256" t="str">
        <f t="shared" si="2"/>
        <v/>
      </c>
      <c r="M151" s="249">
        <f>IF(T$148&gt;K150,SUM(L152:L$177),0)</f>
        <v>0</v>
      </c>
      <c r="N151" s="72"/>
      <c r="O151" s="69"/>
      <c r="P151" s="69"/>
      <c r="Q151" s="69"/>
      <c r="R151" s="69"/>
      <c r="S151" s="69"/>
      <c r="T151" s="69"/>
      <c r="U151" s="75"/>
      <c r="V151" s="75"/>
      <c r="W151" s="75"/>
      <c r="X151" s="83">
        <f t="shared" si="0"/>
        <v>0</v>
      </c>
      <c r="Y151" s="54">
        <f t="shared" si="1"/>
        <v>0</v>
      </c>
      <c r="Z151" s="56"/>
      <c r="AA151" s="7"/>
      <c r="AB151" s="7"/>
      <c r="AC151" s="7"/>
      <c r="AD151" s="7"/>
      <c r="AE151" s="7"/>
      <c r="AF151" s="7"/>
      <c r="AG151" s="7"/>
      <c r="AH151" s="7"/>
    </row>
    <row r="152" spans="1:34" s="39" customFormat="1" ht="14.85" customHeight="1" x14ac:dyDescent="0.25">
      <c r="A152" s="54"/>
      <c r="B152" s="222"/>
      <c r="C152" s="188"/>
      <c r="D152" s="188"/>
      <c r="E152" s="350"/>
      <c r="F152" s="350"/>
      <c r="G152" s="350"/>
      <c r="H152" s="346">
        <v>1.33</v>
      </c>
      <c r="I152" s="347"/>
      <c r="J152" s="158" t="str">
        <f>IF(K$31="","",IF(Sheet1!AG8=0,"",Sheet1!AG8))</f>
        <v/>
      </c>
      <c r="K152" s="269"/>
      <c r="L152" s="256" t="str">
        <f t="shared" si="2"/>
        <v/>
      </c>
      <c r="M152" s="249">
        <f>IF(T$148&gt;K151,SUM(L153:L$177),0)</f>
        <v>0</v>
      </c>
      <c r="N152" s="72"/>
      <c r="O152" s="69"/>
      <c r="P152" s="69"/>
      <c r="Q152" s="69"/>
      <c r="R152" s="368" t="s">
        <v>143</v>
      </c>
      <c r="S152" s="369"/>
      <c r="T152" s="111" t="e">
        <f>((V150-V149)/(S150-S149))*(T148-S149)+V149</f>
        <v>#DIV/0!</v>
      </c>
      <c r="U152" s="110" t="s">
        <v>6</v>
      </c>
      <c r="V152" s="75"/>
      <c r="W152" s="75"/>
      <c r="X152" s="83">
        <f t="shared" si="0"/>
        <v>0</v>
      </c>
      <c r="Y152" s="54">
        <f t="shared" si="1"/>
        <v>0</v>
      </c>
      <c r="Z152" s="56"/>
      <c r="AA152" s="7"/>
      <c r="AB152" s="7"/>
      <c r="AC152" s="7"/>
      <c r="AD152" s="7"/>
      <c r="AE152" s="7"/>
      <c r="AF152" s="7"/>
      <c r="AG152" s="7"/>
      <c r="AH152" s="7"/>
    </row>
    <row r="153" spans="1:34" s="39" customFormat="1" ht="14.85" customHeight="1" x14ac:dyDescent="0.25">
      <c r="A153" s="54"/>
      <c r="B153" s="257"/>
      <c r="C153" s="192" t="s">
        <v>37</v>
      </c>
      <c r="D153" s="161"/>
      <c r="E153" s="350"/>
      <c r="F153" s="350"/>
      <c r="G153" s="350"/>
      <c r="H153" s="346">
        <v>1.67</v>
      </c>
      <c r="I153" s="347"/>
      <c r="J153" s="158" t="str">
        <f>IF(K$31="","",IF(Sheet1!AG9=0,"",Sheet1!AG9))</f>
        <v/>
      </c>
      <c r="K153" s="269"/>
      <c r="L153" s="256" t="str">
        <f t="shared" si="2"/>
        <v/>
      </c>
      <c r="M153" s="249">
        <f>IF(T$148&gt;K152,SUM(L154:L$177),0)</f>
        <v>0</v>
      </c>
      <c r="N153" s="72"/>
      <c r="O153" s="69"/>
      <c r="P153" s="69"/>
      <c r="Q153" s="69"/>
      <c r="R153" s="69"/>
      <c r="S153" s="69"/>
      <c r="T153" s="69"/>
      <c r="U153" s="69"/>
      <c r="V153" s="69"/>
      <c r="W153" s="69"/>
      <c r="X153" s="83">
        <f t="shared" si="0"/>
        <v>0</v>
      </c>
      <c r="Y153" s="54">
        <f t="shared" si="1"/>
        <v>0</v>
      </c>
      <c r="Z153" s="56"/>
      <c r="AA153" s="7"/>
      <c r="AB153" s="7"/>
      <c r="AC153" s="7"/>
      <c r="AD153" s="7"/>
      <c r="AE153" s="7"/>
      <c r="AF153" s="7"/>
      <c r="AG153" s="7"/>
      <c r="AH153" s="7"/>
    </row>
    <row r="154" spans="1:34" ht="14.85" customHeight="1" x14ac:dyDescent="0.25">
      <c r="B154" s="257"/>
      <c r="C154" s="145"/>
      <c r="D154" s="145"/>
      <c r="E154" s="350"/>
      <c r="F154" s="350"/>
      <c r="G154" s="350"/>
      <c r="H154" s="346">
        <v>2</v>
      </c>
      <c r="I154" s="347"/>
      <c r="J154" s="158" t="str">
        <f>IF(K$31="","",IF(Sheet1!AG10=0,"",Sheet1!AG10))</f>
        <v/>
      </c>
      <c r="K154" s="269"/>
      <c r="L154" s="256" t="str">
        <f t="shared" si="2"/>
        <v/>
      </c>
      <c r="M154" s="249">
        <f>IF(T$148&gt;K153,SUM(L155:L$177),0)</f>
        <v>0</v>
      </c>
      <c r="N154" s="72"/>
      <c r="O154" s="69"/>
      <c r="P154" s="69"/>
      <c r="Q154" s="69"/>
      <c r="R154" s="69"/>
      <c r="S154" s="69"/>
      <c r="T154" s="69"/>
      <c r="U154" s="69"/>
      <c r="V154" s="69"/>
      <c r="W154" s="69"/>
      <c r="X154" s="83">
        <f t="shared" si="0"/>
        <v>0</v>
      </c>
      <c r="Y154" s="54">
        <f t="shared" si="1"/>
        <v>0</v>
      </c>
      <c r="Z154" s="56"/>
      <c r="AA154" s="7"/>
      <c r="AB154" s="7"/>
      <c r="AC154" s="7"/>
      <c r="AD154" s="7"/>
      <c r="AE154" s="7"/>
      <c r="AF154" s="7"/>
      <c r="AG154" s="7"/>
      <c r="AH154" s="7"/>
    </row>
    <row r="155" spans="1:34" s="39" customFormat="1" ht="14.85" customHeight="1" x14ac:dyDescent="0.25">
      <c r="A155" s="54"/>
      <c r="B155" s="348" t="s">
        <v>178</v>
      </c>
      <c r="C155" s="349"/>
      <c r="D155" s="349"/>
      <c r="E155" s="196"/>
      <c r="F155" s="162"/>
      <c r="G155" s="162"/>
      <c r="H155" s="346">
        <v>2.33</v>
      </c>
      <c r="I155" s="347"/>
      <c r="J155" s="158" t="str">
        <f>IF(K$31="","",IF(Sheet1!AG11=0,"",Sheet1!AG11))</f>
        <v/>
      </c>
      <c r="K155" s="269"/>
      <c r="L155" s="256" t="str">
        <f t="shared" si="2"/>
        <v/>
      </c>
      <c r="M155" s="249">
        <f>IF(T$148&gt;K154,SUM(L156:L$177),0)</f>
        <v>0</v>
      </c>
      <c r="N155" s="72"/>
      <c r="O155" s="69"/>
      <c r="P155" s="69"/>
      <c r="Q155" s="69"/>
      <c r="R155" s="69"/>
      <c r="S155" s="69"/>
      <c r="T155" s="69"/>
      <c r="U155" s="69"/>
      <c r="V155" s="69"/>
      <c r="W155" s="69"/>
      <c r="X155" s="83">
        <f t="shared" si="0"/>
        <v>0</v>
      </c>
      <c r="Y155" s="54">
        <f t="shared" si="1"/>
        <v>0</v>
      </c>
      <c r="Z155" s="56"/>
      <c r="AA155" s="7"/>
      <c r="AB155" s="7"/>
      <c r="AC155" s="7"/>
      <c r="AD155" s="7"/>
      <c r="AE155" s="7"/>
      <c r="AF155" s="7"/>
      <c r="AG155" s="7"/>
      <c r="AH155" s="7"/>
    </row>
    <row r="156" spans="1:34" ht="14.85" customHeight="1" x14ac:dyDescent="0.25">
      <c r="B156" s="257"/>
      <c r="C156" s="145"/>
      <c r="D156" s="145"/>
      <c r="E156" s="145"/>
      <c r="F156" s="145"/>
      <c r="G156" s="186"/>
      <c r="H156" s="346">
        <v>2.67</v>
      </c>
      <c r="I156" s="347"/>
      <c r="J156" s="158" t="str">
        <f>IF(K$31="","",IF(Sheet1!AG12=0,"",Sheet1!AG12))</f>
        <v/>
      </c>
      <c r="K156" s="269"/>
      <c r="L156" s="256" t="str">
        <f t="shared" si="2"/>
        <v/>
      </c>
      <c r="M156" s="249">
        <f>IF(T$148&gt;K155,SUM(L157:L$177),0)</f>
        <v>0</v>
      </c>
      <c r="N156" s="72"/>
      <c r="O156" s="69"/>
      <c r="P156" s="79"/>
      <c r="Q156" s="79"/>
      <c r="R156" s="367" t="s">
        <v>87</v>
      </c>
      <c r="S156" s="367"/>
      <c r="T156" s="367"/>
      <c r="U156" s="367"/>
      <c r="V156" s="367"/>
      <c r="W156" s="69"/>
      <c r="X156" s="83">
        <f t="shared" si="0"/>
        <v>0</v>
      </c>
      <c r="Y156" s="54">
        <f t="shared" si="1"/>
        <v>0</v>
      </c>
      <c r="Z156" s="56"/>
    </row>
    <row r="157" spans="1:34" ht="14.85" customHeight="1" x14ac:dyDescent="0.25">
      <c r="B157" s="273" t="s">
        <v>145</v>
      </c>
      <c r="C157" s="274"/>
      <c r="D157" s="274"/>
      <c r="E157" s="274"/>
      <c r="F157" s="274"/>
      <c r="G157" s="341"/>
      <c r="H157" s="346">
        <v>3</v>
      </c>
      <c r="I157" s="347"/>
      <c r="J157" s="158" t="str">
        <f>IF(K$31="","",IF(Sheet1!AG13=0,"",Sheet1!AG13))</f>
        <v/>
      </c>
      <c r="K157" s="269"/>
      <c r="L157" s="256" t="str">
        <f t="shared" si="2"/>
        <v/>
      </c>
      <c r="M157" s="249">
        <f>IF(T$148&gt;K156,SUM(L158:L$177),0)</f>
        <v>0</v>
      </c>
      <c r="N157" s="72"/>
      <c r="O157" s="82"/>
      <c r="P157" s="70"/>
      <c r="Q157" s="70"/>
      <c r="R157" s="70"/>
      <c r="S157" s="70"/>
      <c r="T157" s="69"/>
      <c r="U157" s="69"/>
      <c r="V157" s="69"/>
      <c r="W157" s="69"/>
      <c r="X157" s="83">
        <f t="shared" si="0"/>
        <v>0</v>
      </c>
      <c r="Y157" s="54">
        <f t="shared" si="1"/>
        <v>0</v>
      </c>
      <c r="Z157" s="56"/>
    </row>
    <row r="158" spans="1:34" ht="14.85" customHeight="1" x14ac:dyDescent="0.35">
      <c r="B158" s="273" t="s">
        <v>99</v>
      </c>
      <c r="C158" s="274"/>
      <c r="D158" s="274"/>
      <c r="E158" s="274"/>
      <c r="F158" s="274"/>
      <c r="G158" s="341"/>
      <c r="H158" s="346">
        <v>3.33</v>
      </c>
      <c r="I158" s="347"/>
      <c r="J158" s="158" t="str">
        <f>IF(K$31="","",IF(Sheet1!AG14=0,"",Sheet1!AG14))</f>
        <v/>
      </c>
      <c r="K158" s="269"/>
      <c r="L158" s="256" t="str">
        <f t="shared" si="2"/>
        <v/>
      </c>
      <c r="M158" s="249">
        <f>IF(T$148&gt;K157,SUM(L159:L$177),0)</f>
        <v>0</v>
      </c>
      <c r="N158" s="72"/>
      <c r="O158" s="82"/>
      <c r="P158" s="70"/>
      <c r="Q158" s="70"/>
      <c r="R158" s="70"/>
      <c r="S158" s="69" t="s">
        <v>88</v>
      </c>
      <c r="T158" s="78">
        <f>(K9/43560)/2</f>
        <v>0</v>
      </c>
      <c r="U158" s="69" t="s">
        <v>89</v>
      </c>
      <c r="V158" s="69"/>
      <c r="W158" s="69"/>
      <c r="X158" s="83">
        <f t="shared" si="0"/>
        <v>0</v>
      </c>
      <c r="Y158" s="54">
        <f t="shared" si="1"/>
        <v>0</v>
      </c>
      <c r="Z158" s="56"/>
    </row>
    <row r="159" spans="1:34" ht="14.85" customHeight="1" x14ac:dyDescent="0.25">
      <c r="B159" s="226"/>
      <c r="C159" s="177"/>
      <c r="D159" s="177"/>
      <c r="E159" s="196"/>
      <c r="F159" s="196"/>
      <c r="G159" s="186"/>
      <c r="H159" s="346">
        <v>3.67</v>
      </c>
      <c r="I159" s="347"/>
      <c r="J159" s="158" t="str">
        <f>IF(K$31="","",IF(Sheet1!AG15=0,"",Sheet1!AG15))</f>
        <v/>
      </c>
      <c r="K159" s="269"/>
      <c r="L159" s="256" t="str">
        <f t="shared" si="2"/>
        <v/>
      </c>
      <c r="M159" s="249">
        <f>IF(T$148&gt;K158,SUM(L160:L$177),0)</f>
        <v>0</v>
      </c>
      <c r="N159" s="72"/>
      <c r="O159" s="82"/>
      <c r="P159" s="70"/>
      <c r="Q159" s="70"/>
      <c r="R159" s="70"/>
      <c r="S159" s="69"/>
      <c r="T159" s="69"/>
      <c r="U159" s="69"/>
      <c r="V159" s="69"/>
      <c r="W159" s="69"/>
      <c r="X159" s="83">
        <f t="shared" si="0"/>
        <v>0</v>
      </c>
      <c r="Y159" s="54">
        <f t="shared" si="1"/>
        <v>0</v>
      </c>
      <c r="Z159" s="56"/>
      <c r="AC159" s="29"/>
    </row>
    <row r="160" spans="1:34" ht="14.85" customHeight="1" x14ac:dyDescent="0.25">
      <c r="B160" s="221"/>
      <c r="C160" s="192" t="s">
        <v>28</v>
      </c>
      <c r="D160" s="270"/>
      <c r="E160" s="196" t="s">
        <v>27</v>
      </c>
      <c r="F160" s="283" t="str">
        <f>IF(AND(D160&lt;0.375,D160&lt;&gt;""),"3/8 inch min"," ")</f>
        <v xml:space="preserve"> </v>
      </c>
      <c r="G160" s="345"/>
      <c r="H160" s="346">
        <v>4</v>
      </c>
      <c r="I160" s="347"/>
      <c r="J160" s="158" t="str">
        <f>IF(K$31="","",IF(Sheet1!AG16=0,"",Sheet1!AG16))</f>
        <v/>
      </c>
      <c r="K160" s="269"/>
      <c r="L160" s="256" t="str">
        <f t="shared" si="2"/>
        <v/>
      </c>
      <c r="M160" s="249">
        <f>IF(T$148&gt;K159,SUM(L161:L$177),0)</f>
        <v>0</v>
      </c>
      <c r="N160" s="72"/>
      <c r="O160" s="82"/>
      <c r="P160" s="70"/>
      <c r="Q160" s="70"/>
      <c r="R160" s="76" t="s">
        <v>134</v>
      </c>
      <c r="S160" s="60">
        <f>INDEX(J148:M177,MATCH(T158,K148:K177,1)+1,4)</f>
        <v>0</v>
      </c>
      <c r="T160" s="69" t="s">
        <v>19</v>
      </c>
      <c r="U160" s="69" t="s">
        <v>135</v>
      </c>
      <c r="V160" s="61">
        <f>INDEX(J148:M177,MATCH(T158,K148:K177,1)+1,2)</f>
        <v>0</v>
      </c>
      <c r="W160" s="69" t="s">
        <v>89</v>
      </c>
      <c r="X160" s="83">
        <f>IF(J160=0,IF(K160&gt;0,1,0),0)</f>
        <v>0</v>
      </c>
      <c r="Y160">
        <f>IF(AND(K160&lt;&gt;0,K160&lt;&gt;"",OR(K161=0,K161=""),K160&lt;(K$9/43560)),1,0)</f>
        <v>0</v>
      </c>
      <c r="Z160" s="56"/>
    </row>
    <row r="161" spans="2:26" ht="14.85" customHeight="1" x14ac:dyDescent="0.25">
      <c r="B161" s="258"/>
      <c r="C161" s="163"/>
      <c r="D161" s="196"/>
      <c r="E161" s="196"/>
      <c r="F161" s="196"/>
      <c r="G161" s="186"/>
      <c r="H161" s="346">
        <v>4.33</v>
      </c>
      <c r="I161" s="347"/>
      <c r="J161" s="158" t="str">
        <f>IF(K$31="","",IF(Sheet1!AG17=0,"",Sheet1!AG17))</f>
        <v/>
      </c>
      <c r="K161" s="269"/>
      <c r="L161" s="256" t="str">
        <f t="shared" si="2"/>
        <v/>
      </c>
      <c r="M161" s="249">
        <f>IF(T$148&gt;K160,SUM(L162:L$177),0)</f>
        <v>0</v>
      </c>
      <c r="N161" s="72"/>
      <c r="P161" s="70"/>
      <c r="Q161" s="70"/>
      <c r="R161" s="76"/>
      <c r="S161" s="69"/>
      <c r="T161" s="69"/>
      <c r="U161" s="69"/>
      <c r="V161" s="69"/>
      <c r="W161" s="69"/>
      <c r="X161" s="83">
        <f t="shared" ref="X161:X178" si="3">IF(J161=0,IF(K161&gt;0,1,0),0)</f>
        <v>0</v>
      </c>
      <c r="Y161" s="54">
        <f t="shared" ref="Y161:Y177" si="4">IF(AND(K161&lt;&gt;0,K161&lt;&gt;"",OR(K162=0,K162=""),K161&lt;(K$9/43560)),1,0)</f>
        <v>0</v>
      </c>
      <c r="Z161" s="56"/>
    </row>
    <row r="162" spans="2:26" ht="14.85" customHeight="1" x14ac:dyDescent="0.25">
      <c r="B162" s="221"/>
      <c r="C162" s="192" t="s">
        <v>29</v>
      </c>
      <c r="D162" s="161"/>
      <c r="E162" s="177" t="s">
        <v>30</v>
      </c>
      <c r="F162" s="177"/>
      <c r="G162" s="186"/>
      <c r="H162" s="346">
        <v>4.67</v>
      </c>
      <c r="I162" s="347"/>
      <c r="J162" s="158" t="str">
        <f>IF(K$31="","",IF(Sheet1!AG18=0,"",Sheet1!AG18))</f>
        <v/>
      </c>
      <c r="K162" s="269"/>
      <c r="L162" s="256" t="str">
        <f>IF(OR(J162=0,ISTEXT(J161),J161="",K161&gt;T$148),"",IF(K162-K161=0,"",IF(K162-K161&lt;0,"",(K162-K161)*12.1/((J162+J161)/2))))</f>
        <v/>
      </c>
      <c r="M162" s="249">
        <f>IF(T$148&gt;K161,SUM(L163:L$177),0)</f>
        <v>0</v>
      </c>
      <c r="N162" s="72"/>
      <c r="P162" s="70"/>
      <c r="Q162" s="70"/>
      <c r="R162" s="76" t="s">
        <v>133</v>
      </c>
      <c r="S162" s="60">
        <f>INDEX(J148:M177,MATCH(T158,K148:K177,1),4)</f>
        <v>0</v>
      </c>
      <c r="T162" s="69" t="s">
        <v>19</v>
      </c>
      <c r="U162" s="69" t="s">
        <v>136</v>
      </c>
      <c r="V162" s="61">
        <f>INDEX(J148:M177,MATCH(T158,K148:K177,1),2)</f>
        <v>0</v>
      </c>
      <c r="W162" s="69" t="s">
        <v>89</v>
      </c>
      <c r="X162" s="83">
        <f t="shared" si="3"/>
        <v>0</v>
      </c>
      <c r="Y162" s="54">
        <f t="shared" si="4"/>
        <v>0</v>
      </c>
      <c r="Z162" s="56"/>
    </row>
    <row r="163" spans="2:26" ht="14.85" customHeight="1" x14ac:dyDescent="0.25">
      <c r="B163" s="221"/>
      <c r="C163" s="145"/>
      <c r="D163" s="145"/>
      <c r="E163" s="145"/>
      <c r="F163" s="177"/>
      <c r="G163" s="186"/>
      <c r="H163" s="346">
        <v>5</v>
      </c>
      <c r="I163" s="347"/>
      <c r="J163" s="158" t="str">
        <f>IF(K$31="","",IF(Sheet1!AG19=0,"",Sheet1!AG19))</f>
        <v/>
      </c>
      <c r="K163" s="269"/>
      <c r="L163" s="256" t="str">
        <f t="shared" ref="L163:L177" si="5">IF(OR(J163=0,ISTEXT(J162),J162="",K162&gt;T$148),"",IF(K163-K162=0,"",IF(K163-K162&lt;0,"",(K163-K162)*12.1/((J163+J162)/2))))</f>
        <v/>
      </c>
      <c r="M163" s="249">
        <f>IF(T$148&gt;K162,SUM(L164:L$177),0)</f>
        <v>0</v>
      </c>
      <c r="N163" s="72"/>
      <c r="O163" s="77"/>
      <c r="P163" s="70"/>
      <c r="Q163" s="70"/>
      <c r="R163" s="70"/>
      <c r="S163" s="70"/>
      <c r="T163" s="69"/>
      <c r="U163" s="69"/>
      <c r="V163" s="69"/>
      <c r="W163" s="69"/>
      <c r="X163" s="83">
        <f t="shared" si="3"/>
        <v>0</v>
      </c>
      <c r="Y163" s="54">
        <f t="shared" si="4"/>
        <v>0</v>
      </c>
      <c r="Z163" s="56"/>
    </row>
    <row r="164" spans="2:26" ht="14.85" customHeight="1" x14ac:dyDescent="0.25">
      <c r="B164" s="259"/>
      <c r="C164" s="115" t="s">
        <v>84</v>
      </c>
      <c r="D164" s="116"/>
      <c r="E164" s="186" t="s">
        <v>85</v>
      </c>
      <c r="F164" s="177"/>
      <c r="G164" s="186"/>
      <c r="H164" s="346">
        <v>5.33</v>
      </c>
      <c r="I164" s="347"/>
      <c r="J164" s="158" t="str">
        <f>IF(K$31="","",IF(Sheet1!AG20=0,"",Sheet1!AG20))</f>
        <v/>
      </c>
      <c r="K164" s="269"/>
      <c r="L164" s="256" t="str">
        <f t="shared" si="5"/>
        <v/>
      </c>
      <c r="M164" s="249">
        <f>IF(T$148&gt;K163,SUM(L165:L$177),0)</f>
        <v>0</v>
      </c>
      <c r="N164" s="72"/>
      <c r="P164" s="94"/>
      <c r="Q164" s="94"/>
      <c r="R164" s="368" t="s">
        <v>90</v>
      </c>
      <c r="S164" s="369"/>
      <c r="T164" s="111" t="e">
        <f>S160+(S162-S160)*((T158-V160)/(V162-V160))</f>
        <v>#DIV/0!</v>
      </c>
      <c r="U164" s="112" t="s">
        <v>91</v>
      </c>
      <c r="V164" s="69"/>
      <c r="W164" s="69"/>
      <c r="X164" s="83">
        <f t="shared" si="3"/>
        <v>0</v>
      </c>
      <c r="Y164" s="54">
        <f t="shared" si="4"/>
        <v>0</v>
      </c>
      <c r="Z164" s="56"/>
    </row>
    <row r="165" spans="2:26" ht="14.85" customHeight="1" x14ac:dyDescent="0.25">
      <c r="B165" s="221"/>
      <c r="C165" s="145"/>
      <c r="D165" s="145"/>
      <c r="E165" s="145"/>
      <c r="F165" s="177"/>
      <c r="G165" s="196"/>
      <c r="H165" s="346">
        <v>5.67</v>
      </c>
      <c r="I165" s="347"/>
      <c r="J165" s="158" t="str">
        <f>IF(K$31="","",IF(Sheet1!AG21=0,"",Sheet1!AG21))</f>
        <v/>
      </c>
      <c r="K165" s="269"/>
      <c r="L165" s="256" t="str">
        <f t="shared" si="5"/>
        <v/>
      </c>
      <c r="M165" s="249">
        <f>IF(T$148&gt;K164,SUM(L166:L$177),0)</f>
        <v>0</v>
      </c>
      <c r="N165" s="72"/>
      <c r="O165" s="77"/>
      <c r="P165" s="70"/>
      <c r="Q165" s="70"/>
      <c r="R165" s="70"/>
      <c r="S165" s="70"/>
      <c r="T165" s="69"/>
      <c r="U165" s="69"/>
      <c r="V165" s="69"/>
      <c r="W165" s="69"/>
      <c r="X165" s="83">
        <f t="shared" si="3"/>
        <v>0</v>
      </c>
      <c r="Y165" s="54">
        <f t="shared" si="4"/>
        <v>0</v>
      </c>
      <c r="Z165" s="56"/>
    </row>
    <row r="166" spans="2:26" ht="15" customHeight="1" x14ac:dyDescent="0.25">
      <c r="B166" s="260"/>
      <c r="C166" s="192" t="s">
        <v>31</v>
      </c>
      <c r="D166" s="164">
        <f xml:space="preserve"> D162*3.14*(D160)^2/(144*4)</f>
        <v>0</v>
      </c>
      <c r="E166" s="165" t="s">
        <v>179</v>
      </c>
      <c r="F166" s="139"/>
      <c r="G166" s="196"/>
      <c r="H166" s="346">
        <v>6</v>
      </c>
      <c r="I166" s="347"/>
      <c r="J166" s="158" t="str">
        <f>IF(K$31="","",IF(Sheet1!AG22=0,"",Sheet1!AG22))</f>
        <v/>
      </c>
      <c r="K166" s="269"/>
      <c r="L166" s="256" t="str">
        <f t="shared" si="5"/>
        <v/>
      </c>
      <c r="M166" s="249">
        <f>IF(T$148&gt;K165,SUM(L167:L$177),0)</f>
        <v>0</v>
      </c>
      <c r="N166" s="72"/>
      <c r="O166" s="77"/>
      <c r="P166" s="70"/>
      <c r="Q166" s="70"/>
      <c r="R166" s="70"/>
      <c r="S166" s="70"/>
      <c r="T166" s="69"/>
      <c r="U166" s="69"/>
      <c r="V166" s="69"/>
      <c r="W166" s="69"/>
      <c r="X166" s="83">
        <f t="shared" si="3"/>
        <v>0</v>
      </c>
      <c r="Y166" s="54">
        <f t="shared" si="4"/>
        <v>0</v>
      </c>
      <c r="Z166" s="56"/>
    </row>
    <row r="167" spans="2:26" ht="15" customHeight="1" x14ac:dyDescent="0.25">
      <c r="B167" s="257"/>
      <c r="C167" s="177" t="s">
        <v>35</v>
      </c>
      <c r="D167" s="145"/>
      <c r="E167" s="145"/>
      <c r="F167" s="145"/>
      <c r="G167" s="145"/>
      <c r="H167" s="346">
        <v>6.33</v>
      </c>
      <c r="I167" s="347"/>
      <c r="J167" s="158" t="str">
        <f>IF(K$31="","",IF(Sheet1!AG23=0,"",Sheet1!AG23))</f>
        <v/>
      </c>
      <c r="K167" s="269"/>
      <c r="L167" s="256" t="str">
        <f t="shared" si="5"/>
        <v/>
      </c>
      <c r="M167" s="249">
        <f>IF(T$148&gt;K166,SUM(L168:L$177),0)</f>
        <v>0</v>
      </c>
      <c r="N167" s="72"/>
      <c r="O167" s="77"/>
      <c r="P167" s="70"/>
      <c r="Q167" s="70"/>
      <c r="R167" s="70"/>
      <c r="S167" s="70"/>
      <c r="T167" s="69"/>
      <c r="U167" s="69"/>
      <c r="V167" s="69"/>
      <c r="W167" s="69"/>
      <c r="X167" s="83">
        <f t="shared" si="3"/>
        <v>0</v>
      </c>
      <c r="Y167" s="54">
        <f t="shared" si="4"/>
        <v>0</v>
      </c>
      <c r="Z167" s="56"/>
    </row>
    <row r="168" spans="2:26" ht="15.75" customHeight="1" x14ac:dyDescent="0.3">
      <c r="B168" s="257"/>
      <c r="C168" s="192" t="s">
        <v>31</v>
      </c>
      <c r="D168" s="164">
        <f>D166*144</f>
        <v>0</v>
      </c>
      <c r="E168" s="184" t="s">
        <v>180</v>
      </c>
      <c r="F168" s="145"/>
      <c r="G168" s="145"/>
      <c r="H168" s="346">
        <v>6.67</v>
      </c>
      <c r="I168" s="347"/>
      <c r="J168" s="158" t="str">
        <f>IF(K$31="","",IF(Sheet1!AG24=0,"",Sheet1!AG24))</f>
        <v/>
      </c>
      <c r="K168" s="269"/>
      <c r="L168" s="256" t="str">
        <f t="shared" si="5"/>
        <v/>
      </c>
      <c r="M168" s="249">
        <f>IF(T$148&gt;K167,SUM(L169:L$177),0)</f>
        <v>0</v>
      </c>
      <c r="N168" s="72"/>
      <c r="O168" s="77"/>
      <c r="P168" s="70"/>
      <c r="Q168" s="70"/>
      <c r="R168" s="70"/>
      <c r="S168" s="70"/>
      <c r="T168" s="69"/>
      <c r="U168" s="69"/>
      <c r="V168" s="69"/>
      <c r="W168" s="69"/>
      <c r="X168" s="83">
        <f t="shared" si="3"/>
        <v>0</v>
      </c>
      <c r="Y168" s="54">
        <f t="shared" si="4"/>
        <v>0</v>
      </c>
      <c r="Z168" s="56"/>
    </row>
    <row r="169" spans="2:26" ht="13.5" customHeight="1" x14ac:dyDescent="0.25">
      <c r="B169" s="257"/>
      <c r="C169" s="145"/>
      <c r="D169" s="145"/>
      <c r="E169" s="166"/>
      <c r="F169" s="145"/>
      <c r="G169" s="167"/>
      <c r="H169" s="346">
        <v>7</v>
      </c>
      <c r="I169" s="347"/>
      <c r="J169" s="158" t="str">
        <f>IF(K$31="","",IF(Sheet1!AG25=0,"",Sheet1!AG25))</f>
        <v/>
      </c>
      <c r="K169" s="269"/>
      <c r="L169" s="256" t="str">
        <f t="shared" si="5"/>
        <v/>
      </c>
      <c r="M169" s="249">
        <f>IF(T$148&gt;K168,SUM(L170:L$177),0)</f>
        <v>0</v>
      </c>
      <c r="N169" s="72"/>
      <c r="O169" s="77"/>
      <c r="P169" s="70"/>
      <c r="Q169" s="70"/>
      <c r="R169" s="70"/>
      <c r="S169" s="70"/>
      <c r="T169" s="69"/>
      <c r="U169" s="69"/>
      <c r="V169" s="69"/>
      <c r="W169" s="69"/>
      <c r="X169" s="83">
        <f t="shared" si="3"/>
        <v>0</v>
      </c>
      <c r="Y169" s="54">
        <f t="shared" si="4"/>
        <v>0</v>
      </c>
      <c r="Z169" s="56"/>
    </row>
    <row r="170" spans="2:26" ht="14.85" customHeight="1" x14ac:dyDescent="0.3">
      <c r="B170" s="342" t="s">
        <v>181</v>
      </c>
      <c r="C170" s="343"/>
      <c r="D170" s="343"/>
      <c r="E170" s="343"/>
      <c r="F170" s="343"/>
      <c r="G170" s="343"/>
      <c r="H170" s="346">
        <v>7.33</v>
      </c>
      <c r="I170" s="347"/>
      <c r="J170" s="158" t="str">
        <f>IF(K$31="","",IF(Sheet1!AG26=0,"",Sheet1!AG26))</f>
        <v/>
      </c>
      <c r="K170" s="269"/>
      <c r="L170" s="256" t="str">
        <f t="shared" si="5"/>
        <v/>
      </c>
      <c r="M170" s="249">
        <f>IF(T$148&gt;K169,SUM(L171:L$177),0)</f>
        <v>0</v>
      </c>
      <c r="N170" s="72"/>
      <c r="O170" s="77"/>
      <c r="P170" s="70"/>
      <c r="Q170" s="70"/>
      <c r="R170" s="70"/>
      <c r="S170" s="70"/>
      <c r="T170" s="69"/>
      <c r="U170" s="69"/>
      <c r="V170" s="69"/>
      <c r="W170" s="69"/>
      <c r="X170" s="83">
        <f t="shared" si="3"/>
        <v>0</v>
      </c>
      <c r="Y170" s="54">
        <f t="shared" si="4"/>
        <v>0</v>
      </c>
      <c r="Z170" s="56"/>
    </row>
    <row r="171" spans="2:26" ht="14.85" customHeight="1" x14ac:dyDescent="0.25">
      <c r="B171" s="342" t="s">
        <v>123</v>
      </c>
      <c r="C171" s="343"/>
      <c r="D171" s="343"/>
      <c r="E171" s="343"/>
      <c r="F171" s="343"/>
      <c r="G171" s="167"/>
      <c r="H171" s="346">
        <v>7.67</v>
      </c>
      <c r="I171" s="347"/>
      <c r="J171" s="158" t="str">
        <f>IF(K$31="","",IF(Sheet1!AG27=0,"",Sheet1!AG27))</f>
        <v/>
      </c>
      <c r="K171" s="269"/>
      <c r="L171" s="256" t="str">
        <f t="shared" si="5"/>
        <v/>
      </c>
      <c r="M171" s="249">
        <f>IF(T$148&gt;K170,SUM(L172:L$177),0)</f>
        <v>0</v>
      </c>
      <c r="N171" s="72"/>
      <c r="O171" s="77"/>
      <c r="P171" s="70"/>
      <c r="Q171" s="70"/>
      <c r="R171" s="70"/>
      <c r="S171" s="70"/>
      <c r="T171" s="69"/>
      <c r="U171" s="69"/>
      <c r="V171" s="69"/>
      <c r="W171" s="69"/>
      <c r="X171" s="83">
        <f t="shared" si="3"/>
        <v>0</v>
      </c>
      <c r="Y171" s="54">
        <f t="shared" si="4"/>
        <v>0</v>
      </c>
      <c r="Z171" s="56"/>
    </row>
    <row r="172" spans="2:26" ht="14.85" customHeight="1" x14ac:dyDescent="0.25">
      <c r="B172" s="257"/>
      <c r="C172" s="145"/>
      <c r="D172" s="145"/>
      <c r="E172" s="145"/>
      <c r="F172" s="145"/>
      <c r="G172" s="196"/>
      <c r="H172" s="346">
        <v>8</v>
      </c>
      <c r="I172" s="347"/>
      <c r="J172" s="158" t="str">
        <f>IF(K$31="","",IF(Sheet1!AG28=0,"",Sheet1!AG28))</f>
        <v/>
      </c>
      <c r="K172" s="269"/>
      <c r="L172" s="256" t="str">
        <f t="shared" si="5"/>
        <v/>
      </c>
      <c r="M172" s="249">
        <f>IF(T$148&gt;K171,SUM(L173:L$177),0)</f>
        <v>0</v>
      </c>
      <c r="N172" s="72"/>
      <c r="O172" s="77"/>
      <c r="P172" s="70"/>
      <c r="Q172" s="70"/>
      <c r="R172" s="70"/>
      <c r="S172" s="70"/>
      <c r="T172" s="69"/>
      <c r="U172" s="69"/>
      <c r="V172" s="69"/>
      <c r="W172" s="69"/>
      <c r="X172" s="83">
        <f t="shared" si="3"/>
        <v>0</v>
      </c>
      <c r="Y172" s="54">
        <f t="shared" si="4"/>
        <v>0</v>
      </c>
      <c r="Z172" s="56"/>
    </row>
    <row r="173" spans="2:26" ht="14.85" customHeight="1" x14ac:dyDescent="0.25">
      <c r="B173" s="344" t="s">
        <v>18</v>
      </c>
      <c r="C173" s="319"/>
      <c r="D173" s="168" t="str">
        <f>IF(OR(S144&lt;&gt;"Complete Data",Q144&lt;&gt;"OK"),"Error *",T164)</f>
        <v>Error *</v>
      </c>
      <c r="E173" s="169" t="s">
        <v>19</v>
      </c>
      <c r="F173" s="145"/>
      <c r="G173" s="145"/>
      <c r="H173" s="346">
        <v>8.33</v>
      </c>
      <c r="I173" s="347"/>
      <c r="J173" s="158" t="str">
        <f>IF(K$31="","",IF(Sheet1!AG29=0,"",Sheet1!AG29))</f>
        <v/>
      </c>
      <c r="K173" s="269"/>
      <c r="L173" s="256" t="str">
        <f t="shared" si="5"/>
        <v/>
      </c>
      <c r="M173" s="249">
        <f>IF(T$148&gt;K172,SUM(L174:L$177),0)</f>
        <v>0</v>
      </c>
      <c r="N173" s="72"/>
      <c r="O173" s="77"/>
      <c r="P173" s="70"/>
      <c r="Q173" s="70"/>
      <c r="R173" s="70"/>
      <c r="S173" s="70"/>
      <c r="T173" s="69"/>
      <c r="U173" s="69"/>
      <c r="V173" s="69"/>
      <c r="W173" s="69"/>
      <c r="X173" s="83">
        <f t="shared" si="3"/>
        <v>0</v>
      </c>
      <c r="Y173" s="54">
        <f t="shared" si="4"/>
        <v>0</v>
      </c>
      <c r="Z173" s="56"/>
    </row>
    <row r="174" spans="2:26" ht="14.85" customHeight="1" x14ac:dyDescent="0.25">
      <c r="B174" s="257"/>
      <c r="C174" s="283" t="str">
        <f>IF(OR(D173&lt;0.01,D173="Error *"),"",IF(D173&lt;24,"Redesign. 24 hour minimum ","OK "))</f>
        <v/>
      </c>
      <c r="D174" s="283"/>
      <c r="E174" s="283"/>
      <c r="F174" s="145"/>
      <c r="G174" s="167"/>
      <c r="H174" s="346">
        <v>8.67</v>
      </c>
      <c r="I174" s="347"/>
      <c r="J174" s="158" t="str">
        <f>IF(K$31="","",IF(Sheet1!AG30=0,"",Sheet1!AG30))</f>
        <v/>
      </c>
      <c r="K174" s="269"/>
      <c r="L174" s="256" t="str">
        <f t="shared" si="5"/>
        <v/>
      </c>
      <c r="M174" s="249">
        <f>IF(T$148&gt;K173,SUM(L175:L$177),0)</f>
        <v>0</v>
      </c>
      <c r="N174" s="72"/>
      <c r="O174" s="77"/>
      <c r="P174" s="70"/>
      <c r="Q174" s="70"/>
      <c r="R174" s="70"/>
      <c r="S174" s="70"/>
      <c r="T174" s="69"/>
      <c r="U174" s="69"/>
      <c r="V174" s="69"/>
      <c r="W174" s="69"/>
      <c r="X174" s="83">
        <f t="shared" si="3"/>
        <v>0</v>
      </c>
      <c r="Y174" s="54">
        <f t="shared" si="4"/>
        <v>0</v>
      </c>
      <c r="Z174" s="56"/>
    </row>
    <row r="175" spans="2:26" ht="14.85" customHeight="1" x14ac:dyDescent="0.3">
      <c r="B175" s="273" t="s">
        <v>182</v>
      </c>
      <c r="C175" s="274"/>
      <c r="D175" s="274"/>
      <c r="E175" s="274"/>
      <c r="F175" s="274"/>
      <c r="G175" s="274"/>
      <c r="H175" s="346">
        <v>9</v>
      </c>
      <c r="I175" s="347"/>
      <c r="J175" s="158" t="str">
        <f>IF(K$31="","",IF(Sheet1!AG31=0,"",Sheet1!AG31))</f>
        <v/>
      </c>
      <c r="K175" s="269"/>
      <c r="L175" s="256" t="str">
        <f t="shared" si="5"/>
        <v/>
      </c>
      <c r="M175" s="249">
        <f>IF(T$148&gt;K174,SUM(L176:L$177),0)</f>
        <v>0</v>
      </c>
      <c r="N175" s="72"/>
      <c r="O175" s="77"/>
      <c r="P175" s="70"/>
      <c r="Q175" s="70"/>
      <c r="R175" s="70"/>
      <c r="S175" s="70"/>
      <c r="T175" s="69"/>
      <c r="U175" s="69"/>
      <c r="V175" s="69"/>
      <c r="W175" s="69"/>
      <c r="X175" s="83">
        <f t="shared" si="3"/>
        <v>0</v>
      </c>
      <c r="Y175" s="54">
        <f t="shared" si="4"/>
        <v>0</v>
      </c>
      <c r="Z175" s="56"/>
    </row>
    <row r="176" spans="2:26" ht="14.85" customHeight="1" x14ac:dyDescent="0.25">
      <c r="B176" s="342" t="s">
        <v>185</v>
      </c>
      <c r="C176" s="343"/>
      <c r="D176" s="343"/>
      <c r="E176" s="343"/>
      <c r="F176" s="343"/>
      <c r="G176" s="196"/>
      <c r="H176" s="346">
        <v>9.33</v>
      </c>
      <c r="I176" s="347"/>
      <c r="J176" s="158" t="str">
        <f>IF(K$31="","",IF(Sheet1!AG32=0,"",Sheet1!AG32))</f>
        <v/>
      </c>
      <c r="K176" s="269"/>
      <c r="L176" s="256" t="str">
        <f t="shared" si="5"/>
        <v/>
      </c>
      <c r="M176" s="249">
        <f>IF(T$148&gt;K175,SUM(L177:L$177),0)</f>
        <v>0</v>
      </c>
      <c r="N176" s="72"/>
      <c r="O176" s="77"/>
      <c r="P176" s="70"/>
      <c r="Q176" s="70"/>
      <c r="R176" s="70"/>
      <c r="S176" s="70"/>
      <c r="T176" s="69"/>
      <c r="U176" s="69"/>
      <c r="V176" s="69"/>
      <c r="W176" s="69"/>
      <c r="X176" s="83">
        <f t="shared" si="3"/>
        <v>0</v>
      </c>
      <c r="Y176" s="54">
        <f t="shared" si="4"/>
        <v>0</v>
      </c>
      <c r="Z176" s="56"/>
    </row>
    <row r="177" spans="2:26" ht="14.85" customHeight="1" x14ac:dyDescent="0.25">
      <c r="B177" s="257"/>
      <c r="C177" s="145"/>
      <c r="D177" s="190"/>
      <c r="E177" s="190"/>
      <c r="F177" s="190"/>
      <c r="G177" s="167"/>
      <c r="H177" s="346">
        <v>9.67</v>
      </c>
      <c r="I177" s="347"/>
      <c r="J177" s="158" t="str">
        <f>IF(K$31="","",IF(Sheet1!AG33=0,"",Sheet1!AG33))</f>
        <v/>
      </c>
      <c r="K177" s="269"/>
      <c r="L177" s="256" t="str">
        <f t="shared" si="5"/>
        <v/>
      </c>
      <c r="M177" s="249">
        <f>IF(T$148&gt;K176,SUM(L$177:L178),0)</f>
        <v>0</v>
      </c>
      <c r="N177" s="72"/>
      <c r="O177" s="77"/>
      <c r="P177" s="70"/>
      <c r="Q177" s="70"/>
      <c r="R177" s="70"/>
      <c r="S177" s="70"/>
      <c r="T177" s="69"/>
      <c r="U177" s="69"/>
      <c r="V177" s="69"/>
      <c r="W177" s="69"/>
      <c r="X177" s="83">
        <f t="shared" si="3"/>
        <v>0</v>
      </c>
      <c r="Y177" s="54">
        <f t="shared" si="4"/>
        <v>0</v>
      </c>
      <c r="Z177" s="56"/>
    </row>
    <row r="178" spans="2:26" ht="14.85" customHeight="1" x14ac:dyDescent="0.25">
      <c r="B178" s="344" t="s">
        <v>20</v>
      </c>
      <c r="C178" s="319"/>
      <c r="D178" s="168" t="str">
        <f>IF(OR(S144&lt;&gt;"Complete Data",Q144&lt;&gt;"OK"),"Error *",L179)</f>
        <v>Error *</v>
      </c>
      <c r="E178" s="196" t="s">
        <v>19</v>
      </c>
      <c r="F178" s="145"/>
      <c r="G178" s="145"/>
      <c r="H178" s="346">
        <v>10</v>
      </c>
      <c r="I178" s="347"/>
      <c r="J178" s="158" t="str">
        <f>IF(K$31="","",IF(Sheet1!AG34=0,"",Sheet1!AG34))</f>
        <v/>
      </c>
      <c r="K178" s="269"/>
      <c r="L178" s="261"/>
      <c r="M178" s="106" t="str">
        <f>IF(Q$149&lt;=H179,IF(Q$149&gt;=H177,SUM(I$169:I178)," "), " ")</f>
        <v xml:space="preserve"> </v>
      </c>
      <c r="N178" s="65"/>
      <c r="O178" s="14"/>
      <c r="P178" s="7"/>
      <c r="Q178" s="7"/>
      <c r="R178" s="7"/>
      <c r="S178" s="55"/>
      <c r="T178" s="54"/>
      <c r="U178" s="54"/>
      <c r="V178" s="54"/>
      <c r="W178" s="54"/>
      <c r="X178" s="83">
        <f t="shared" si="3"/>
        <v>0</v>
      </c>
      <c r="Y178" s="54"/>
      <c r="Z178" s="56"/>
    </row>
    <row r="179" spans="2:26" ht="14.85" customHeight="1" thickBot="1" x14ac:dyDescent="0.3">
      <c r="B179" s="262"/>
      <c r="C179" s="340" t="str">
        <f>IF(OR(D178&lt;24,D178="Error *"),"",IF(D178&gt;48,"Redesign. 48 hour maximum","OK "))</f>
        <v/>
      </c>
      <c r="D179" s="340"/>
      <c r="E179" s="340"/>
      <c r="F179" s="195"/>
      <c r="G179" s="170"/>
      <c r="H179" s="171"/>
      <c r="I179" s="172"/>
      <c r="J179" s="173"/>
      <c r="K179" s="174" t="s">
        <v>183</v>
      </c>
      <c r="L179" s="263">
        <f>SUM(L148:L177)</f>
        <v>0</v>
      </c>
      <c r="M179" s="107"/>
      <c r="N179" s="66"/>
      <c r="O179" s="14"/>
      <c r="P179" s="7"/>
      <c r="Q179" s="7"/>
      <c r="R179" s="7"/>
      <c r="S179" s="55"/>
      <c r="T179" s="14"/>
      <c r="U179" s="7"/>
      <c r="V179" s="7"/>
      <c r="W179" s="7"/>
      <c r="X179" s="42">
        <f>SUM(X149:X178)</f>
        <v>0</v>
      </c>
      <c r="Y179" s="42">
        <f>SUM(Y149:Y178)</f>
        <v>0</v>
      </c>
      <c r="Z179" s="7"/>
    </row>
    <row r="180" spans="2:26" s="54" customFormat="1" ht="14.85" customHeight="1" x14ac:dyDescent="0.25">
      <c r="B180" s="264" t="s">
        <v>5</v>
      </c>
      <c r="C180" s="175"/>
      <c r="D180" s="175"/>
      <c r="E180" s="175"/>
      <c r="F180" s="175"/>
      <c r="G180" s="175"/>
      <c r="H180" s="175"/>
      <c r="I180" s="175"/>
      <c r="J180" s="175"/>
      <c r="K180" s="175"/>
      <c r="L180" s="265"/>
      <c r="M180" s="67"/>
      <c r="N180" s="67"/>
      <c r="O180" s="43"/>
      <c r="P180" s="55"/>
      <c r="Q180" s="55"/>
      <c r="R180" s="55"/>
      <c r="S180" s="55"/>
      <c r="T180" s="55"/>
      <c r="U180" s="55"/>
      <c r="V180" s="55"/>
      <c r="W180" s="55"/>
      <c r="X180" s="55"/>
      <c r="Y180" s="55"/>
      <c r="Z180" s="55"/>
    </row>
    <row r="181" spans="2:26" ht="14.85" customHeight="1" x14ac:dyDescent="0.25">
      <c r="B181" s="266"/>
      <c r="C181" s="267"/>
      <c r="D181" s="267"/>
      <c r="E181" s="267"/>
      <c r="F181" s="267"/>
      <c r="G181" s="267"/>
      <c r="H181" s="267"/>
      <c r="I181" s="267"/>
      <c r="J181" s="267"/>
      <c r="K181" s="267"/>
      <c r="L181" s="268"/>
      <c r="M181" s="68"/>
      <c r="N181" s="68"/>
      <c r="P181" s="28"/>
      <c r="Q181" s="28"/>
      <c r="R181" s="28"/>
      <c r="S181" s="28"/>
      <c r="T181" s="40"/>
      <c r="V181" s="39"/>
    </row>
    <row r="182" spans="2:26" ht="15.75" hidden="1" customHeight="1" x14ac:dyDescent="0.25">
      <c r="O182" s="39" t="s">
        <v>36</v>
      </c>
      <c r="U182" s="33"/>
    </row>
    <row r="183" spans="2:26" ht="15.75" hidden="1" customHeight="1" x14ac:dyDescent="0.25">
      <c r="U183" s="33"/>
    </row>
    <row r="184" spans="2:26" ht="15.75" hidden="1" customHeight="1" x14ac:dyDescent="0.25"/>
    <row r="185" spans="2:26" ht="15.75" hidden="1" customHeight="1" x14ac:dyDescent="0.25">
      <c r="U185" s="31"/>
    </row>
    <row r="186" spans="2:26" ht="15.75" hidden="1" customHeight="1" x14ac:dyDescent="0.25"/>
    <row r="187" spans="2:26" ht="15.75" hidden="1" customHeight="1" x14ac:dyDescent="0.25">
      <c r="U187" s="31"/>
    </row>
    <row r="188" spans="2:26" ht="15.75" hidden="1" customHeight="1" x14ac:dyDescent="0.25"/>
    <row r="189" spans="2:26" ht="15.75" hidden="1" customHeight="1" x14ac:dyDescent="0.25"/>
    <row r="190" spans="2:26" ht="15.75" hidden="1" customHeight="1" x14ac:dyDescent="0.25"/>
    <row r="191" spans="2:26" ht="15.75" hidden="1" customHeight="1" x14ac:dyDescent="0.25"/>
    <row r="192" spans="2:26" ht="15.75" hidden="1" customHeight="1" x14ac:dyDescent="0.25"/>
    <row r="193" ht="15.75" hidden="1" customHeight="1" x14ac:dyDescent="0.25"/>
    <row r="194" ht="15.75" hidden="1" customHeight="1" x14ac:dyDescent="0.25"/>
    <row r="195" ht="15.75" hidden="1" customHeight="1" x14ac:dyDescent="0.25"/>
    <row r="196" ht="15.75" hidden="1" customHeight="1" x14ac:dyDescent="0.25"/>
    <row r="197" ht="15.75" hidden="1" customHeight="1" x14ac:dyDescent="0.25"/>
    <row r="198" ht="15.75" hidden="1" customHeight="1" x14ac:dyDescent="0.25"/>
    <row r="199" ht="15.75" hidden="1" customHeight="1" x14ac:dyDescent="0.25"/>
    <row r="200" ht="15.75" hidden="1" customHeight="1" x14ac:dyDescent="0.25"/>
    <row r="201" ht="15.75" hidden="1" customHeight="1" x14ac:dyDescent="0.25"/>
    <row r="202" ht="15.75" hidden="1" customHeight="1" x14ac:dyDescent="0.25"/>
    <row r="203" ht="15.75" hidden="1" customHeight="1" x14ac:dyDescent="0.25"/>
    <row r="204" ht="15.75" hidden="1" customHeight="1" x14ac:dyDescent="0.25"/>
    <row r="205" ht="15.75" hidden="1" customHeight="1" x14ac:dyDescent="0.25"/>
    <row r="206" ht="15.75" hidden="1" customHeight="1" x14ac:dyDescent="0.25"/>
    <row r="207" ht="15.75" hidden="1" customHeight="1" x14ac:dyDescent="0.25"/>
    <row r="208" ht="15.75" hidden="1" customHeight="1" x14ac:dyDescent="0.25"/>
    <row r="209" ht="15.75" hidden="1" customHeight="1" x14ac:dyDescent="0.25"/>
    <row r="210" ht="15.75" hidden="1" customHeight="1" x14ac:dyDescent="0.25"/>
    <row r="211" ht="15.75" hidden="1" customHeight="1" x14ac:dyDescent="0.25"/>
    <row r="212" ht="15.75" hidden="1" customHeight="1" x14ac:dyDescent="0.25"/>
    <row r="213" ht="15.75" hidden="1" customHeight="1" x14ac:dyDescent="0.25"/>
    <row r="214" ht="15.75" hidden="1" customHeight="1" x14ac:dyDescent="0.25"/>
    <row r="215" ht="15.75" hidden="1" customHeight="1" x14ac:dyDescent="0.25"/>
    <row r="216" ht="15.75" hidden="1" customHeight="1" x14ac:dyDescent="0.25"/>
    <row r="217" ht="15.75" hidden="1" customHeight="1" x14ac:dyDescent="0.25"/>
    <row r="218" ht="15.75" hidden="1" customHeight="1" x14ac:dyDescent="0.25"/>
    <row r="219" ht="15.75" hidden="1" customHeight="1" x14ac:dyDescent="0.25"/>
  </sheetData>
  <sheetProtection password="9F7A" sheet="1" objects="1" scenarios="1" selectLockedCells="1"/>
  <mergeCells count="136">
    <mergeCell ref="B52:I52"/>
    <mergeCell ref="B58:D58"/>
    <mergeCell ref="E58:I58"/>
    <mergeCell ref="B70:C70"/>
    <mergeCell ref="B73:L73"/>
    <mergeCell ref="F54:I54"/>
    <mergeCell ref="B54:E54"/>
    <mergeCell ref="H19:J19"/>
    <mergeCell ref="B75:D75"/>
    <mergeCell ref="S144:T144"/>
    <mergeCell ref="H151:I151"/>
    <mergeCell ref="H152:I152"/>
    <mergeCell ref="H150:I150"/>
    <mergeCell ref="R147:V147"/>
    <mergeCell ref="R156:V156"/>
    <mergeCell ref="R152:S152"/>
    <mergeCell ref="R164:S164"/>
    <mergeCell ref="H144:L145"/>
    <mergeCell ref="H149:I149"/>
    <mergeCell ref="B146:C146"/>
    <mergeCell ref="H148:I148"/>
    <mergeCell ref="B134:E144"/>
    <mergeCell ref="E127:G129"/>
    <mergeCell ref="C147:D147"/>
    <mergeCell ref="B131:L131"/>
    <mergeCell ref="M139:R139"/>
    <mergeCell ref="Q144:R144"/>
    <mergeCell ref="M146:M147"/>
    <mergeCell ref="N146:N147"/>
    <mergeCell ref="L146:L147"/>
    <mergeCell ref="H146:I147"/>
    <mergeCell ref="B155:D155"/>
    <mergeCell ref="H168:I168"/>
    <mergeCell ref="H175:I175"/>
    <mergeCell ref="H172:I172"/>
    <mergeCell ref="H170:I170"/>
    <mergeCell ref="H169:I169"/>
    <mergeCell ref="H167:I167"/>
    <mergeCell ref="H166:I166"/>
    <mergeCell ref="E151:G154"/>
    <mergeCell ref="H154:I154"/>
    <mergeCell ref="H153:I153"/>
    <mergeCell ref="H155:I155"/>
    <mergeCell ref="H161:I161"/>
    <mergeCell ref="H160:I160"/>
    <mergeCell ref="H157:I157"/>
    <mergeCell ref="H156:I156"/>
    <mergeCell ref="H158:I158"/>
    <mergeCell ref="H162:I162"/>
    <mergeCell ref="H164:I164"/>
    <mergeCell ref="H163:I163"/>
    <mergeCell ref="K1:L1"/>
    <mergeCell ref="K2:L2"/>
    <mergeCell ref="D3:G3"/>
    <mergeCell ref="D4:G4"/>
    <mergeCell ref="B1:G2"/>
    <mergeCell ref="C179:E179"/>
    <mergeCell ref="B158:G158"/>
    <mergeCell ref="C174:E174"/>
    <mergeCell ref="B176:F176"/>
    <mergeCell ref="B157:G157"/>
    <mergeCell ref="B178:C178"/>
    <mergeCell ref="B175:G175"/>
    <mergeCell ref="B171:F171"/>
    <mergeCell ref="B173:C173"/>
    <mergeCell ref="B170:G170"/>
    <mergeCell ref="F160:G160"/>
    <mergeCell ref="H177:I177"/>
    <mergeCell ref="H171:I171"/>
    <mergeCell ref="H178:I178"/>
    <mergeCell ref="H165:I165"/>
    <mergeCell ref="H176:I176"/>
    <mergeCell ref="H159:I159"/>
    <mergeCell ref="H174:I174"/>
    <mergeCell ref="H173:I173"/>
    <mergeCell ref="H13:J13"/>
    <mergeCell ref="B50:D50"/>
    <mergeCell ref="I17:J17"/>
    <mergeCell ref="I15:J15"/>
    <mergeCell ref="B48:L48"/>
    <mergeCell ref="B13:D13"/>
    <mergeCell ref="B15:G15"/>
    <mergeCell ref="B17:G17"/>
    <mergeCell ref="B21:E21"/>
    <mergeCell ref="F21:I22"/>
    <mergeCell ref="B23:I23"/>
    <mergeCell ref="B29:I29"/>
    <mergeCell ref="B31:I31"/>
    <mergeCell ref="H1:I1"/>
    <mergeCell ref="B87:E87"/>
    <mergeCell ref="J146:J147"/>
    <mergeCell ref="K146:K147"/>
    <mergeCell ref="I50:J50"/>
    <mergeCell ref="B5:L5"/>
    <mergeCell ref="B95:E95"/>
    <mergeCell ref="F87:I87"/>
    <mergeCell ref="F97:I97"/>
    <mergeCell ref="F95:I95"/>
    <mergeCell ref="I88:J88"/>
    <mergeCell ref="B25:G25"/>
    <mergeCell ref="B27:I27"/>
    <mergeCell ref="B28:I28"/>
    <mergeCell ref="B56:E56"/>
    <mergeCell ref="F56:I56"/>
    <mergeCell ref="E124:G124"/>
    <mergeCell ref="B113:F113"/>
    <mergeCell ref="J1:J2"/>
    <mergeCell ref="B81:D81"/>
    <mergeCell ref="E81:I81"/>
    <mergeCell ref="B111:E111"/>
    <mergeCell ref="D123:G123"/>
    <mergeCell ref="B11:L11"/>
    <mergeCell ref="B7:E7"/>
    <mergeCell ref="B89:D89"/>
    <mergeCell ref="F89:I89"/>
    <mergeCell ref="B83:L83"/>
    <mergeCell ref="B90:E90"/>
    <mergeCell ref="B85:E85"/>
    <mergeCell ref="F75:I75"/>
    <mergeCell ref="F91:I91"/>
    <mergeCell ref="C127:D127"/>
    <mergeCell ref="D118:G118"/>
    <mergeCell ref="H118:K118"/>
    <mergeCell ref="B93:E93"/>
    <mergeCell ref="B97:E97"/>
    <mergeCell ref="B99:E99"/>
    <mergeCell ref="F99:I99"/>
    <mergeCell ref="F101:I101"/>
    <mergeCell ref="G113:I113"/>
    <mergeCell ref="D114:G114"/>
    <mergeCell ref="H114:J114"/>
    <mergeCell ref="B115:I115"/>
    <mergeCell ref="B101:E101"/>
    <mergeCell ref="B117:F117"/>
    <mergeCell ref="G117:H117"/>
    <mergeCell ref="I117:J117"/>
  </mergeCells>
  <phoneticPr fontId="12" type="noConversion"/>
  <conditionalFormatting sqref="G10 G5:G6 G8">
    <cfRule type="cellIs" dxfId="44" priority="174" stopIfTrue="1" operator="notBetween">
      <formula>0</formula>
      <formula>100</formula>
    </cfRule>
  </conditionalFormatting>
  <conditionalFormatting sqref="E81:F81">
    <cfRule type="expression" dxfId="43" priority="161">
      <formula>AND(K81&lt;1.5,K81&lt;&gt;"")</formula>
    </cfRule>
  </conditionalFormatting>
  <conditionalFormatting sqref="F87:I87">
    <cfRule type="expression" dxfId="42" priority="160">
      <formula>AND($K$87&lt;24,$K$87&lt;&gt;"")</formula>
    </cfRule>
  </conditionalFormatting>
  <conditionalFormatting sqref="F89:I89">
    <cfRule type="expression" dxfId="41" priority="159">
      <formula>AND($K$89&lt;48,$K$89&lt;&gt;"")</formula>
    </cfRule>
  </conditionalFormatting>
  <conditionalFormatting sqref="F91">
    <cfRule type="expression" dxfId="40" priority="157">
      <formula>$K$91&gt;1</formula>
    </cfRule>
  </conditionalFormatting>
  <conditionalFormatting sqref="F95:I95">
    <cfRule type="expression" dxfId="39" priority="156">
      <formula>AND($K$95&lt;&gt;"",$K$95&lt;24)</formula>
    </cfRule>
  </conditionalFormatting>
  <conditionalFormatting sqref="F97:I97">
    <cfRule type="expression" dxfId="38" priority="155">
      <formula>AND($K$97&lt;18,$K$97&lt;&gt;"")</formula>
    </cfRule>
  </conditionalFormatting>
  <conditionalFormatting sqref="F99:I99">
    <cfRule type="expression" dxfId="37" priority="154">
      <formula>$K$99:$K$99&gt;1</formula>
    </cfRule>
  </conditionalFormatting>
  <conditionalFormatting sqref="F101:I101">
    <cfRule type="expression" dxfId="36" priority="153">
      <formula>$K$101&gt;25</formula>
    </cfRule>
  </conditionalFormatting>
  <conditionalFormatting sqref="C127">
    <cfRule type="expression" dxfId="35" priority="152">
      <formula>AND($C$126&lt;6,$C$126&lt;&gt;"")</formula>
    </cfRule>
  </conditionalFormatting>
  <conditionalFormatting sqref="E151:G154">
    <cfRule type="expression" dxfId="34" priority="142" stopIfTrue="1">
      <formula>IF($D$153=0,FALSE,IF($D$153=0.66,FALSE,TRUE))</formula>
    </cfRule>
  </conditionalFormatting>
  <conditionalFormatting sqref="C174:E174">
    <cfRule type="expression" dxfId="33" priority="141">
      <formula>$D$173&lt;24</formula>
    </cfRule>
  </conditionalFormatting>
  <conditionalFormatting sqref="C179:E179">
    <cfRule type="expression" dxfId="32" priority="140">
      <formula>AND($D$178&gt;72,$D$178&lt;&gt;"Error *")</formula>
    </cfRule>
  </conditionalFormatting>
  <conditionalFormatting sqref="D123:G123">
    <cfRule type="expression" dxfId="31" priority="139">
      <formula>AND($C$122&lt;18,$C$122&lt;&gt;"")</formula>
    </cfRule>
  </conditionalFormatting>
  <conditionalFormatting sqref="F160:G160">
    <cfRule type="expression" dxfId="30" priority="138">
      <formula>AND(D160&lt;0.375,D160&lt;&gt;"")</formula>
    </cfRule>
  </conditionalFormatting>
  <conditionalFormatting sqref="F21">
    <cfRule type="expression" dxfId="29" priority="122">
      <formula>AND($K$21&lt;4,$K$21&lt;&gt;"")</formula>
    </cfRule>
  </conditionalFormatting>
  <conditionalFormatting sqref="H144:L145">
    <cfRule type="expression" dxfId="28" priority="57">
      <formula>OR($Q$144&lt;&gt;"OK",$S$144&lt;&gt;"Complete Data")</formula>
    </cfRule>
  </conditionalFormatting>
  <conditionalFormatting sqref="X139">
    <cfRule type="expression" dxfId="27" priority="53" stopIfTrue="1">
      <formula>$K$158=0</formula>
    </cfRule>
    <cfRule type="expression" dxfId="26" priority="56">
      <formula>$J$158=0</formula>
    </cfRule>
  </conditionalFormatting>
  <conditionalFormatting sqref="X138">
    <cfRule type="expression" dxfId="25" priority="54" stopIfTrue="1">
      <formula>$K$157=0</formula>
    </cfRule>
    <cfRule type="expression" dxfId="24" priority="55">
      <formula>$J$157=0</formula>
    </cfRule>
  </conditionalFormatting>
  <conditionalFormatting sqref="X140">
    <cfRule type="expression" dxfId="23" priority="51" stopIfTrue="1">
      <formula>$K$159=0</formula>
    </cfRule>
    <cfRule type="expression" dxfId="22" priority="52">
      <formula>$J$159=0</formula>
    </cfRule>
  </conditionalFormatting>
  <conditionalFormatting sqref="X141">
    <cfRule type="expression" dxfId="21" priority="49" stopIfTrue="1">
      <formula>$K$160=0</formula>
    </cfRule>
    <cfRule type="expression" dxfId="20" priority="50">
      <formula>$J$160=0</formula>
    </cfRule>
  </conditionalFormatting>
  <conditionalFormatting sqref="L149:L177">
    <cfRule type="expression" dxfId="19" priority="47">
      <formula>OR($L149=0,$L149="")</formula>
    </cfRule>
  </conditionalFormatting>
  <conditionalFormatting sqref="D173">
    <cfRule type="expression" dxfId="18" priority="19" stopIfTrue="1">
      <formula>$D$173="Error *"</formula>
    </cfRule>
  </conditionalFormatting>
  <conditionalFormatting sqref="D178">
    <cfRule type="expression" dxfId="17" priority="44">
      <formula>$D$178="Error *"</formula>
    </cfRule>
  </conditionalFormatting>
  <conditionalFormatting sqref="F7:I7">
    <cfRule type="expression" dxfId="16" priority="41">
      <formula>AND($K$7&lt;5,$K$7&lt;&gt;"")</formula>
    </cfRule>
  </conditionalFormatting>
  <conditionalFormatting sqref="F75">
    <cfRule type="expression" dxfId="15" priority="27">
      <formula>AND($K$75&lt;&gt;"",OR($K$75&lt;0.03*K9,$K$75&gt;0.05*K9))</formula>
    </cfRule>
  </conditionalFormatting>
  <conditionalFormatting sqref="F56:I56">
    <cfRule type="expression" dxfId="14" priority="175">
      <formula>AND(#REF!&lt;1,#REF!&lt;&gt;"")</formula>
    </cfRule>
  </conditionalFormatting>
  <conditionalFormatting sqref="E127">
    <cfRule type="expression" dxfId="13" priority="12">
      <formula>OR(AND($K$115&gt;=500,$F$126&gt;20,$F$126&lt;&gt;""),AND($K$115&lt;500,$F$126&gt;10,$F$126&lt;&gt;""))</formula>
    </cfRule>
  </conditionalFormatting>
  <conditionalFormatting sqref="H114:J114">
    <cfRule type="expression" dxfId="12" priority="11">
      <formula>#REF!="No. Redesign"</formula>
    </cfRule>
  </conditionalFormatting>
  <conditionalFormatting sqref="H118">
    <cfRule type="expression" dxfId="11" priority="10">
      <formula>$H$118="Enter Depth and Surface Area"</formula>
    </cfRule>
  </conditionalFormatting>
  <conditionalFormatting sqref="G113:H113">
    <cfRule type="expression" dxfId="10" priority="8">
      <formula>AND(K113&lt;&gt;"",K113&lt;4)</formula>
    </cfRule>
  </conditionalFormatting>
  <conditionalFormatting sqref="F54:G54">
    <cfRule type="expression" dxfId="9" priority="7">
      <formula>AND(K54&lt;&gt;"",K54&lt;1)</formula>
    </cfRule>
  </conditionalFormatting>
  <conditionalFormatting sqref="E58:F58">
    <cfRule type="expression" dxfId="8" priority="176">
      <formula>AND(K58&lt;&gt;"",K58&lt;K9)</formula>
    </cfRule>
  </conditionalFormatting>
  <conditionalFormatting sqref="O157:O160">
    <cfRule type="expression" dxfId="7" priority="5">
      <formula>$J157=0</formula>
    </cfRule>
  </conditionalFormatting>
  <conditionalFormatting sqref="G81:I81">
    <cfRule type="expression" dxfId="6" priority="178">
      <formula>AND(M81&lt;1.5,M81&lt;&gt;"")</formula>
    </cfRule>
  </conditionalFormatting>
  <conditionalFormatting sqref="I113">
    <cfRule type="expression" dxfId="5" priority="182">
      <formula>AND(M113&lt;&gt;"",M113&lt;4)</formula>
    </cfRule>
  </conditionalFormatting>
  <conditionalFormatting sqref="H54:I54">
    <cfRule type="expression" dxfId="4" priority="184">
      <formula>AND(M54&lt;&gt;"",M54&lt;1)</formula>
    </cfRule>
  </conditionalFormatting>
  <conditionalFormatting sqref="G58:I58">
    <cfRule type="expression" dxfId="3" priority="186">
      <formula>AND(M58&lt;&gt;"",M58&lt;M9)</formula>
    </cfRule>
  </conditionalFormatting>
  <conditionalFormatting sqref="J149:J178">
    <cfRule type="cellIs" dxfId="2" priority="4" operator="equal">
      <formula>""</formula>
    </cfRule>
  </conditionalFormatting>
  <conditionalFormatting sqref="J149:L178">
    <cfRule type="expression" dxfId="1" priority="3">
      <formula>OR($J149=0,$K148&gt;$T$148,$J149="",$H$144&lt;&gt;"")</formula>
    </cfRule>
  </conditionalFormatting>
  <conditionalFormatting sqref="L149">
    <cfRule type="expression" dxfId="0" priority="2">
      <formula>OR($L149=0,$L149="")</formula>
    </cfRule>
  </conditionalFormatting>
  <pageMargins left="0.25" right="0.25" top="0.75" bottom="0.75" header="0.3" footer="0.3"/>
  <pageSetup scale="92" fitToHeight="0" orientation="portrait" r:id="rId1"/>
  <rowBreaks count="3" manualBreakCount="3">
    <brk id="47" max="16383" man="1"/>
    <brk id="82" max="16383" man="1"/>
    <brk id="130" max="16383" man="1"/>
  </rowBreaks>
  <drawing r:id="rId2"/>
  <extLst>
    <ext xmlns:x14="http://schemas.microsoft.com/office/spreadsheetml/2009/9/main" uri="{78C0D931-6437-407d-A8EE-F0AAD7539E65}">
      <x14:conditionalFormattings>
        <x14:conditionalFormatting xmlns:xm="http://schemas.microsoft.com/office/excel/2006/main">
          <x14:cfRule type="iconSet" priority="45" id="{EE155A36-6EF3-47ED-9805-A2F6D8D5C882}">
            <x14:iconSet iconSet="3Symbols" custom="1">
              <x14:cfvo type="percent">
                <xm:f>0</xm:f>
              </x14:cfvo>
              <x14:cfvo type="num" gte="0">
                <xm:f>0</xm:f>
              </x14:cfvo>
              <x14:cfvo type="num">
                <xm:f>24</xm:f>
              </x14:cfvo>
              <x14:cfIcon iconSet="3Symbols" iconId="0"/>
              <x14:cfIcon iconSet="3Symbols" iconId="0"/>
              <x14:cfIcon iconSet="3Symbols" iconId="2"/>
            </x14:iconSet>
          </x14:cfRule>
          <xm:sqref>D173</xm:sqref>
        </x14:conditionalFormatting>
        <x14:conditionalFormatting xmlns:xm="http://schemas.microsoft.com/office/excel/2006/main">
          <x14:cfRule type="iconSet" priority="18" id="{5FCB75C9-BE99-4BF3-BE37-FC10960E2262}">
            <x14:iconSet iconSet="3Symbols" custom="1">
              <x14:cfvo type="percent">
                <xm:f>0</xm:f>
              </x14:cfvo>
              <x14:cfvo type="num">
                <xm:f>49</xm:f>
              </x14:cfvo>
              <x14:cfvo type="num">
                <xm:f>49</xm:f>
              </x14:cfvo>
              <x14:cfIcon iconSet="3Symbols" iconId="2"/>
              <x14:cfIcon iconSet="3Symbols" iconId="0"/>
              <x14:cfIcon iconSet="3Symbols" iconId="0"/>
            </x14:iconSet>
          </x14:cfRule>
          <xm:sqref>D178</xm:sqref>
        </x14:conditionalFormatting>
        <x14:conditionalFormatting xmlns:xm="http://schemas.microsoft.com/office/excel/2006/main">
          <x14:cfRule type="iconSet" priority="40" id="{60C16C0A-4276-4291-9ECA-55B70A7781D2}">
            <x14:iconSet iconSet="3Symbols" custom="1">
              <x14:cfvo type="percent">
                <xm:f>0</xm:f>
              </x14:cfvo>
              <x14:cfvo type="num" gte="0">
                <xm:f>1</xm:f>
              </x14:cfvo>
              <x14:cfvo type="num" gte="0">
                <xm:f>1</xm:f>
              </x14:cfvo>
              <x14:cfIcon iconSet="3Symbols" iconId="2"/>
              <x14:cfIcon iconSet="3Symbols" iconId="2"/>
              <x14:cfIcon iconSet="3Symbols" iconId="0"/>
            </x14:iconSet>
          </x14:cfRule>
          <xm:sqref>K91</xm:sqref>
        </x14:conditionalFormatting>
        <x14:conditionalFormatting xmlns:xm="http://schemas.microsoft.com/office/excel/2006/main">
          <x14:cfRule type="iconSet" priority="38" id="{F7BA93A7-E8FB-4E69-8EBC-04DDE68BF67E}">
            <x14:iconSet iconSet="3Symbols" custom="1">
              <x14:cfvo type="percent">
                <xm:f>0</xm:f>
              </x14:cfvo>
              <x14:cfvo type="num">
                <xm:f>48</xm:f>
              </x14:cfvo>
              <x14:cfvo type="num">
                <xm:f>48</xm:f>
              </x14:cfvo>
              <x14:cfIcon iconSet="3Symbols" iconId="0"/>
              <x14:cfIcon iconSet="3Symbols" iconId="2"/>
              <x14:cfIcon iconSet="3Symbols" iconId="2"/>
            </x14:iconSet>
          </x14:cfRule>
          <xm:sqref>K89</xm:sqref>
        </x14:conditionalFormatting>
        <x14:conditionalFormatting xmlns:xm="http://schemas.microsoft.com/office/excel/2006/main">
          <x14:cfRule type="iconSet" priority="37" id="{DF5D2C13-E565-40E3-9267-79CE38DE0459}">
            <x14:iconSet iconSet="3Symbols" custom="1">
              <x14:cfvo type="percent">
                <xm:f>0</xm:f>
              </x14:cfvo>
              <x14:cfvo type="num">
                <xm:f>24</xm:f>
              </x14:cfvo>
              <x14:cfvo type="num">
                <xm:f>24</xm:f>
              </x14:cfvo>
              <x14:cfIcon iconSet="3Symbols" iconId="0"/>
              <x14:cfIcon iconSet="3Symbols" iconId="2"/>
              <x14:cfIcon iconSet="3Symbols" iconId="2"/>
            </x14:iconSet>
          </x14:cfRule>
          <xm:sqref>K87</xm:sqref>
        </x14:conditionalFormatting>
        <x14:conditionalFormatting xmlns:xm="http://schemas.microsoft.com/office/excel/2006/main">
          <x14:cfRule type="iconSet" priority="36" id="{56161A4B-3E9A-41A1-A815-DAD7130DD3C1}">
            <x14:iconSet iconSet="3Symbols" custom="1">
              <x14:cfvo type="percent">
                <xm:f>0</xm:f>
              </x14:cfvo>
              <x14:cfvo type="num">
                <xm:f>24</xm:f>
              </x14:cfvo>
              <x14:cfvo type="num">
                <xm:f>24</xm:f>
              </x14:cfvo>
              <x14:cfIcon iconSet="3Symbols" iconId="0"/>
              <x14:cfIcon iconSet="3Symbols" iconId="2"/>
              <x14:cfIcon iconSet="3Symbols" iconId="2"/>
            </x14:iconSet>
          </x14:cfRule>
          <xm:sqref>K95</xm:sqref>
        </x14:conditionalFormatting>
        <x14:conditionalFormatting xmlns:xm="http://schemas.microsoft.com/office/excel/2006/main">
          <x14:cfRule type="iconSet" priority="35" id="{8A2B7077-1882-45AB-9462-E04A00BD6D9C}">
            <x14:iconSet iconSet="3Symbols" custom="1">
              <x14:cfvo type="percent">
                <xm:f>0</xm:f>
              </x14:cfvo>
              <x14:cfvo type="num">
                <xm:f>18</xm:f>
              </x14:cfvo>
              <x14:cfvo type="num">
                <xm:f>18</xm:f>
              </x14:cfvo>
              <x14:cfIcon iconSet="3Symbols" iconId="0"/>
              <x14:cfIcon iconSet="3Symbols" iconId="2"/>
              <x14:cfIcon iconSet="3Symbols" iconId="2"/>
            </x14:iconSet>
          </x14:cfRule>
          <xm:sqref>K97</xm:sqref>
        </x14:conditionalFormatting>
        <x14:conditionalFormatting xmlns:xm="http://schemas.microsoft.com/office/excel/2006/main">
          <x14:cfRule type="iconSet" priority="34" id="{E4907C25-22A3-4AA0-B534-E786DF6A1ADB}">
            <x14:iconSet iconSet="3Symbols" custom="1">
              <x14:cfvo type="percent">
                <xm:f>0</xm:f>
              </x14:cfvo>
              <x14:cfvo type="num">
                <xm:f>1</xm:f>
              </x14:cfvo>
              <x14:cfvo type="num" gte="0">
                <xm:f>1</xm:f>
              </x14:cfvo>
              <x14:cfIcon iconSet="3Symbols" iconId="2"/>
              <x14:cfIcon iconSet="3Symbols" iconId="2"/>
              <x14:cfIcon iconSet="3Symbols" iconId="0"/>
            </x14:iconSet>
          </x14:cfRule>
          <xm:sqref>K99</xm:sqref>
        </x14:conditionalFormatting>
        <x14:conditionalFormatting xmlns:xm="http://schemas.microsoft.com/office/excel/2006/main">
          <x14:cfRule type="iconSet" priority="33" id="{B2ABB220-7B2B-4184-9B36-DE918668E11A}">
            <x14:iconSet iconSet="3Symbols" custom="1">
              <x14:cfvo type="percent">
                <xm:f>0</xm:f>
              </x14:cfvo>
              <x14:cfvo type="num">
                <xm:f>25</xm:f>
              </x14:cfvo>
              <x14:cfvo type="num" gte="0">
                <xm:f>25</xm:f>
              </x14:cfvo>
              <x14:cfIcon iconSet="3Symbols" iconId="2"/>
              <x14:cfIcon iconSet="3Symbols" iconId="2"/>
              <x14:cfIcon iconSet="3Symbols" iconId="0"/>
            </x14:iconSet>
          </x14:cfRule>
          <xm:sqref>K101</xm:sqref>
        </x14:conditionalFormatting>
        <x14:conditionalFormatting xmlns:xm="http://schemas.microsoft.com/office/excel/2006/main">
          <x14:cfRule type="iconSet" priority="32" id="{07AB99C7-7F75-44BF-857A-10B0D8F0963A}">
            <x14:iconSet iconSet="3Symbols" custom="1">
              <x14:cfvo type="percent">
                <xm:f>0</xm:f>
              </x14:cfvo>
              <x14:cfvo type="num">
                <xm:f>18</xm:f>
              </x14:cfvo>
              <x14:cfvo type="num">
                <xm:f>18</xm:f>
              </x14:cfvo>
              <x14:cfIcon iconSet="3Symbols" iconId="0"/>
              <x14:cfIcon iconSet="3Symbols" iconId="0"/>
              <x14:cfIcon iconSet="3Symbols" iconId="2"/>
            </x14:iconSet>
          </x14:cfRule>
          <xm:sqref>C122</xm:sqref>
        </x14:conditionalFormatting>
        <x14:conditionalFormatting xmlns:xm="http://schemas.microsoft.com/office/excel/2006/main">
          <x14:cfRule type="iconSet" priority="31" id="{A107BDBC-2E9C-495E-B449-B60675BFD703}">
            <x14:iconSet iconSet="3Symbols" custom="1">
              <x14:cfvo type="percent">
                <xm:f>0</xm:f>
              </x14:cfvo>
              <x14:cfvo type="num">
                <xm:f>6</xm:f>
              </x14:cfvo>
              <x14:cfvo type="num">
                <xm:f>6</xm:f>
              </x14:cfvo>
              <x14:cfIcon iconSet="3Symbols" iconId="0"/>
              <x14:cfIcon iconSet="3Symbols" iconId="0"/>
              <x14:cfIcon iconSet="3Symbols" iconId="2"/>
            </x14:iconSet>
          </x14:cfRule>
          <xm:sqref>C126</xm:sqref>
        </x14:conditionalFormatting>
        <x14:conditionalFormatting xmlns:xm="http://schemas.microsoft.com/office/excel/2006/main">
          <x14:cfRule type="iconSet" priority="29" id="{0A0FAA54-0718-44AB-9608-BEA3D661FD32}">
            <x14:iconSet iconSet="3Symbols" custom="1">
              <x14:cfvo type="percent">
                <xm:f>0</xm:f>
              </x14:cfvo>
              <x14:cfvo type="num">
                <xm:f>0</xm:f>
              </x14:cfvo>
              <x14:cfvo type="num">
                <xm:f>1.5</xm:f>
              </x14:cfvo>
              <x14:cfIcon iconSet="3Symbols" iconId="0"/>
              <x14:cfIcon iconSet="3Symbols" iconId="0"/>
              <x14:cfIcon iconSet="3Symbols" iconId="2"/>
            </x14:iconSet>
          </x14:cfRule>
          <xm:sqref>K81</xm:sqref>
        </x14:conditionalFormatting>
        <x14:conditionalFormatting xmlns:xm="http://schemas.microsoft.com/office/excel/2006/main">
          <x14:cfRule type="iconSet" priority="28" id="{23C12684-010E-40E8-9605-1154FE951697}">
            <x14:iconSet iconSet="3Symbols" custom="1">
              <x14:cfvo type="percent">
                <xm:f>0</xm:f>
              </x14:cfvo>
              <x14:cfvo type="formula">
                <xm:f>0.03*$K$9</xm:f>
              </x14:cfvo>
              <x14:cfvo type="formula" gte="0">
                <xm:f>0.05*$K$9</xm:f>
              </x14:cfvo>
              <x14:cfIcon iconSet="3Symbols" iconId="0"/>
              <x14:cfIcon iconSet="3Symbols" iconId="2"/>
              <x14:cfIcon iconSet="3Symbols" iconId="0"/>
            </x14:iconSet>
          </x14:cfRule>
          <xm:sqref>K75</xm:sqref>
        </x14:conditionalFormatting>
        <x14:conditionalFormatting xmlns:xm="http://schemas.microsoft.com/office/excel/2006/main">
          <x14:cfRule type="iconSet" priority="24" id="{7E4689C2-06C7-450F-B325-71BD39894FF8}">
            <x14:iconSet iconSet="3Symbols" custom="1">
              <x14:cfvo type="percent">
                <xm:f>0</xm:f>
              </x14:cfvo>
              <x14:cfvo type="formula">
                <xm:f>$K$9</xm:f>
              </x14:cfvo>
              <x14:cfvo type="formula">
                <xm:f>$K$9</xm:f>
              </x14:cfvo>
              <x14:cfIcon iconSet="3Symbols" iconId="0"/>
              <x14:cfIcon iconSet="3Symbols" iconId="2"/>
              <x14:cfIcon iconSet="3Symbols" iconId="2"/>
            </x14:iconSet>
          </x14:cfRule>
          <xm:sqref>K58</xm:sqref>
        </x14:conditionalFormatting>
        <x14:conditionalFormatting xmlns:xm="http://schemas.microsoft.com/office/excel/2006/main">
          <x14:cfRule type="iconSet" priority="17" id="{2E1F2841-D43D-4E9A-B38C-39DD2D31C643}">
            <x14:iconSet iconSet="3Symbols" custom="1">
              <x14:cfvo type="percent">
                <xm:f>0</xm:f>
              </x14:cfvo>
              <x14:cfvo type="num">
                <xm:f>0</xm:f>
              </x14:cfvo>
              <x14:cfvo type="num">
                <xm:f>0.375</xm:f>
              </x14:cfvo>
              <x14:cfIcon iconSet="3Symbols" iconId="0"/>
              <x14:cfIcon iconSet="3Symbols" iconId="0"/>
              <x14:cfIcon iconSet="3Symbols" iconId="2"/>
            </x14:iconSet>
          </x14:cfRule>
          <xm:sqref>D160</xm:sqref>
        </x14:conditionalFormatting>
        <x14:conditionalFormatting xmlns:xm="http://schemas.microsoft.com/office/excel/2006/main">
          <x14:cfRule type="iconSet" priority="15" id="{3A8ED373-42B2-4573-BA7B-2FD923C6A0AF}">
            <x14:iconSet iconSet="3Symbols" custom="1">
              <x14:cfvo type="percent">
                <xm:f>0</xm:f>
              </x14:cfvo>
              <x14:cfvo type="num">
                <xm:f>1</xm:f>
              </x14:cfvo>
              <x14:cfvo type="num">
                <xm:f>1</xm:f>
              </x14:cfvo>
              <x14:cfIcon iconSet="3Symbols" iconId="0"/>
              <x14:cfIcon iconSet="3Symbols" iconId="2"/>
              <x14:cfIcon iconSet="3Symbols" iconId="2"/>
            </x14:iconSet>
          </x14:cfRule>
          <xm:sqref>K56</xm:sqref>
        </x14:conditionalFormatting>
        <x14:conditionalFormatting xmlns:xm="http://schemas.microsoft.com/office/excel/2006/main">
          <x14:cfRule type="iconSet" priority="9" id="{2883FF92-94CE-4023-8786-F1095A00203D}">
            <x14:iconSet iconSet="3Symbols" custom="1">
              <x14:cfvo type="percent">
                <xm:f>0</xm:f>
              </x14:cfvo>
              <x14:cfvo type="num">
                <xm:f>4</xm:f>
              </x14:cfvo>
              <x14:cfvo type="num">
                <xm:f>5</xm:f>
              </x14:cfvo>
              <x14:cfIcon iconSet="3Symbols" iconId="0"/>
              <x14:cfIcon iconSet="3Symbols" iconId="2"/>
              <x14:cfIcon iconSet="3Symbols" iconId="2"/>
            </x14:iconSet>
          </x14:cfRule>
          <xm:sqref>K113</xm:sqref>
        </x14:conditionalFormatting>
        <x14:conditionalFormatting xmlns:xm="http://schemas.microsoft.com/office/excel/2006/main">
          <x14:cfRule type="iconSet" priority="6" id="{E1FF9EAA-40E8-4936-B43F-91A01A963288}">
            <x14:iconSet iconSet="3Symbols" custom="1">
              <x14:cfvo type="percent">
                <xm:f>0</xm:f>
              </x14:cfvo>
              <x14:cfvo type="num">
                <xm:f>1</xm:f>
              </x14:cfvo>
              <x14:cfvo type="num">
                <xm:f>1</xm:f>
              </x14:cfvo>
              <x14:cfIcon iconSet="3Symbols" iconId="0"/>
              <x14:cfIcon iconSet="3Symbols" iconId="2"/>
              <x14:cfIcon iconSet="3Symbols" iconId="2"/>
            </x14:iconSet>
          </x14:cfRule>
          <xm:sqref>K54</xm:sqref>
        </x14:conditionalFormatting>
        <x14:conditionalFormatting xmlns:xm="http://schemas.microsoft.com/office/excel/2006/main">
          <x14:cfRule type="iconSet" priority="1" id="{42A8285F-FB74-472E-9895-3DF22CC0211E}">
            <x14:iconSet iconSet="3Symbols" showValue="0" custom="1">
              <x14:cfvo type="percent">
                <xm:f>0</xm:f>
              </x14:cfvo>
              <x14:cfvo type="num">
                <xm:f>1.5</xm:f>
              </x14:cfvo>
              <x14:cfvo type="num">
                <xm:f>1.6</xm:f>
              </x14:cfvo>
              <x14:cfIcon iconSet="3Symbols" iconId="0"/>
              <x14:cfIcon iconSet="3Symbols" iconId="2"/>
              <x14:cfIcon iconSet="3Symbols" iconId="2"/>
            </x14:iconSet>
          </x14:cfRule>
          <xm:sqref>K19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6"/>
  <sheetViews>
    <sheetView workbookViewId="0">
      <selection activeCell="B15" sqref="B15"/>
    </sheetView>
  </sheetViews>
  <sheetFormatPr defaultRowHeight="15" x14ac:dyDescent="0.25"/>
  <cols>
    <col min="1" max="1" width="6.7109375" style="33" customWidth="1"/>
    <col min="2" max="33" width="7.7109375" style="44" customWidth="1"/>
  </cols>
  <sheetData>
    <row r="1" spans="1:33" x14ac:dyDescent="0.25">
      <c r="B1" s="44" t="s">
        <v>21</v>
      </c>
      <c r="C1" s="45">
        <f>IF('Extended Detention Basin'!D153&gt;0,'Extended Detention Basin'!D153,'Extended Detention Basin'!D151)</f>
        <v>0.66</v>
      </c>
      <c r="E1" s="44" t="s">
        <v>7</v>
      </c>
      <c r="F1" s="46">
        <f>'Extended Detention Basin'!D166</f>
        <v>0</v>
      </c>
      <c r="H1" s="44" t="s">
        <v>22</v>
      </c>
      <c r="I1" s="47" t="str">
        <f>'Extended Detention Basin'!K31</f>
        <v/>
      </c>
      <c r="K1" s="44" t="s">
        <v>53</v>
      </c>
      <c r="L1" s="44">
        <f>'Extended Detention Basin'!D164</f>
        <v>0</v>
      </c>
      <c r="N1" s="379" t="s">
        <v>86</v>
      </c>
      <c r="O1" s="379"/>
      <c r="P1" s="33">
        <f>L1*0.3333334-0.333333</f>
        <v>-0.33333299999999999</v>
      </c>
    </row>
    <row r="2" spans="1:33" x14ac:dyDescent="0.25">
      <c r="N2" s="379"/>
      <c r="O2" s="379"/>
    </row>
    <row r="3" spans="1:33" ht="18" x14ac:dyDescent="0.35">
      <c r="A3" s="49" t="s">
        <v>23</v>
      </c>
      <c r="B3" s="44" t="s">
        <v>25</v>
      </c>
      <c r="C3" s="44" t="s">
        <v>54</v>
      </c>
      <c r="D3" s="44" t="s">
        <v>55</v>
      </c>
      <c r="E3" s="44" t="s">
        <v>56</v>
      </c>
      <c r="F3" s="44" t="s">
        <v>57</v>
      </c>
      <c r="G3" s="44" t="s">
        <v>58</v>
      </c>
      <c r="H3" s="44" t="s">
        <v>59</v>
      </c>
      <c r="I3" s="44" t="s">
        <v>60</v>
      </c>
      <c r="J3" s="44" t="s">
        <v>61</v>
      </c>
      <c r="K3" s="44" t="s">
        <v>62</v>
      </c>
      <c r="L3" s="44" t="s">
        <v>63</v>
      </c>
      <c r="M3" s="44" t="s">
        <v>64</v>
      </c>
      <c r="N3" s="44" t="s">
        <v>65</v>
      </c>
      <c r="O3" s="44" t="s">
        <v>66</v>
      </c>
      <c r="P3" s="44" t="s">
        <v>67</v>
      </c>
      <c r="Q3" s="44" t="s">
        <v>68</v>
      </c>
      <c r="R3" s="44" t="s">
        <v>69</v>
      </c>
      <c r="S3" s="44" t="s">
        <v>70</v>
      </c>
      <c r="T3" s="44" t="s">
        <v>71</v>
      </c>
      <c r="U3" s="44" t="s">
        <v>72</v>
      </c>
      <c r="V3" s="44" t="s">
        <v>73</v>
      </c>
      <c r="W3" s="44" t="s">
        <v>74</v>
      </c>
      <c r="X3" s="44" t="s">
        <v>75</v>
      </c>
      <c r="Y3" s="44" t="s">
        <v>76</v>
      </c>
      <c r="Z3" s="44" t="s">
        <v>77</v>
      </c>
      <c r="AA3" s="44" t="s">
        <v>78</v>
      </c>
      <c r="AB3" s="44" t="s">
        <v>79</v>
      </c>
      <c r="AC3" s="44" t="s">
        <v>80</v>
      </c>
      <c r="AD3" s="44" t="s">
        <v>81</v>
      </c>
      <c r="AE3" s="44" t="s">
        <v>82</v>
      </c>
      <c r="AF3" s="44" t="s">
        <v>83</v>
      </c>
      <c r="AG3" s="48" t="s">
        <v>24</v>
      </c>
    </row>
    <row r="4" spans="1:33" x14ac:dyDescent="0.25">
      <c r="A4" s="50">
        <v>0</v>
      </c>
      <c r="B4" s="44">
        <f>IF(0&lt;=$P$1,IF(AND($I$1&gt;$A3,$I$1&lt;$A4),IF(($I$1-0)&lt;=0,0,$C$1*$F$1*(64.4*($I$1))^0.5),IF($I$1&lt;$A4,0,$C$1*$F$1*(64.4*($I$1-($I$1-$A4)))^0.5)),0)</f>
        <v>0</v>
      </c>
      <c r="C4" s="44">
        <f>IF(0.333&lt;=$P$1,IF(AND($I$1&gt;$A3,$I$1&lt;$A4),IF(($I$1-0.333)&lt;=0,0,$C$1*$F$1*(64.4*($I$1-0.333))^0.5),IF($I$1&lt;$A4,0,IF($A4&lt;0.33,0,$C$1*$F$1*(64.4*(($I$1-0.333)-($I$1-$A4)))^0.5))),0)</f>
        <v>0</v>
      </c>
      <c r="D4" s="44">
        <f>IF(0.666&lt;=$P$1,IF(AND($I$1&gt;$A3,$I$1&lt;$A4),IF(($I$1-0.667)&lt;=0,0,$C$1*$F$1*(64.4*($I$1-0.67))^0.5),IF($I$1&lt;$A4,0,IF($A4&lt;0.67,0,$C$1*$F$1*(64.4*(($I$1-0.67)-($I$1-$A4)))^0.5))),0)</f>
        <v>0</v>
      </c>
      <c r="E4" s="44">
        <f>IF(1&lt;=$P$1,IF(AND($I$1&gt;$A3,$I$1&lt;$A4),IF(($I$1-1)&lt;=0,0,$C$1*$F$1*(64.4*($I$1-1))^0.5),IF($I$1&lt;$A4,0,IF($A4&lt;1,0,$C$1*$F$1*(64.4*(($I$1-1)-($I$1-$A4)))^0.5))),0)</f>
        <v>0</v>
      </c>
      <c r="F4" s="44">
        <f>IF(1.333&lt;=$P$1,IF(AND($I$1&gt;$A3,$I$1&lt;$A4),IF(($I$1-1.333)&lt;=0,0,$C$1*$F$1*(64.4*($I$1-1.333))^0.5),IF($I$1&lt;$A4,0,IF($A4&lt;1.333,0,$C$1*$F$1*(64.4*(($I$1-1.333)-($I$1-$A4)))^0.5))),0)</f>
        <v>0</v>
      </c>
      <c r="G4" s="44">
        <f>IF(1.666&lt;=$P$1,IF(AND($I$1&gt;$A3,$I$1&lt;$A4),IF(($I$1-1.667)&lt;=0,0,$C$1*$F$1*(64.4*($I$1-1.667))^0.5),IF($I$1&lt;$A4,0,IF($A4&lt;1.667,0,$C$1*$F$1*(64.4*(($I$1-1.667)-($I$1-$A4)))^0.5))),0)</f>
        <v>0</v>
      </c>
      <c r="H4" s="44">
        <f>IF(2&lt;=$P$1,IF(AND($I$1&gt;$A3,$I$1&lt;$A4),IF(($I$1-2)&lt;=0,0,$C$1*$F$1*(64.4*($I$1-2))^0.5),IF($I$1&lt;$A4,0,IF($A4&lt;2,0,$C$1*$F$1*(64.4*(($I$1-2)-($I$1-$A4)))^0.5))),0)</f>
        <v>0</v>
      </c>
      <c r="I4" s="44">
        <f>IF(2.333&lt;=$P$1,IF(AND($I$1&gt;$A3,$I$1&lt;$A4),IF(($I$1-2.333)&lt;=0,0,$C$1*$F$1*(64.4*($I$1-2.333))^0.5),IF($I$1&lt;$A4,0,IF($A4&lt;2.333,0,$C$1*$F$1*(64.4*(($I$1-2.333)-($I$1-$A4)))^0.5))),0)</f>
        <v>0</v>
      </c>
      <c r="J4" s="44">
        <f>IF(2.666&lt;=$P$1,IF(AND($I$1&gt;$A3,$I$1&lt;$A4),IF(($I$1-2.667)&lt;=0,0,$C$1*$F$1*(64.4*($I$1-2.667))^0.5),IF($I$1&lt;$A4,0,IF($A4&lt;2.667,0,$C$1*$F$1*(64.4*(($I$1-2.667)-($I$1-$A4)))^0.5))),0)</f>
        <v>0</v>
      </c>
      <c r="K4" s="44">
        <f>IF(3&lt;=$P$1,IF(AND($I$1&gt;$A3,$I$1&lt;$A4),IF(($I$1-3)&lt;=0,0,$C$1*$F$1*(64.4*($I$1-3))^0.5),IF($I$1&lt;$A4,0,IF($A4&lt;3,0,$C$1*$F$1*(64.4*(($I$1-3)-($I$1-$A4)))^0.5))),0)</f>
        <v>0</v>
      </c>
      <c r="L4" s="44">
        <f>IF(3.333&lt;=$P$1,IF(AND($I$1&gt;$A3,$I$1&lt;$A4),IF(($I$1-3.333)&lt;=0,0,$C$1*$F$1*(64.4*($I$1-3.333))^0.5),IF($I$1&lt;$A4,0,IF($A4&lt;3.333,0,$C$1*$F$1*(64.4*(($I$1-3.333)-($I$1-$A4)))^0.5))),0)</f>
        <v>0</v>
      </c>
      <c r="M4" s="44">
        <f>IF(3.666&lt;=$P$1,IF(AND($I$1&gt;$A3,$I$1&lt;$A4),IF(($I$1-3.667)&lt;=0,0,$C$1*$F$1*(64.4*($I$1-3.667))^0.5),IF($I$1&lt;$A4,0,IF($A4&lt;3.667,0,$C$1*$F$1*(64.4*(($I$1-3.667)-($I$1-$A4)))^0.5))),0)</f>
        <v>0</v>
      </c>
      <c r="N4" s="44">
        <f>IF(4&lt;=$P$1,IF(AND($I$1&gt;$A3,$I$1&lt;$A4),IF(($I$1-4)&lt;=0,0,$C$1*$F$1*(64.4*($I$1-4))^0.5),IF($I$1&lt;$A4,0,IF($A4&lt;4,0,$C$1*$F$1*(64.4*(($I$1-4)-($I$1-$A4)))^0.5))),0)</f>
        <v>0</v>
      </c>
      <c r="O4" s="44">
        <f>IF(4.333&lt;=$P$1,IF(AND($I$1&gt;$A3,$I$1&lt;$A4),IF(($I$1-4.333)&lt;=0,0,$C$1*$F$1*(64.4*($I$1-4.333))^0.5),IF($I$1&lt;$A4,0,IF($A4&lt;4.333,0,$C$1*$F$1*(64.4*(($I$1-4.333)-($I$1-$A4)))^0.5))),0)</f>
        <v>0</v>
      </c>
      <c r="P4" s="44">
        <f>IF(4.666&lt;=$P$1,IF(AND($I$1&gt;$A3,$I$1&lt;$A4),IF(($I$1-4.667)&lt;=0,0,$C$1*$F$1*(64.4*($I$1-4.667))^0.5),IF($I$1&lt;$A4,0,IF($A4&lt;4.667,0,$C$1*$F$1*(64.4*(($I$1-4.667)-($I$1-$A4)))^0.5))),0)</f>
        <v>0</v>
      </c>
      <c r="Q4" s="44">
        <f>IF(5&lt;=$P$1,IF(AND($I$1&gt;$A3,$I$1&lt;$A4),IF(($I$1-5)&lt;=0,0,$C$1*$F$1*(64.4*($I$1-5))^0.5),IF($I$1&lt;$A4,0,IF($A4&lt;5,0,$C$1*$F$1*(64.4*(($I$1-5)-($I$1-$A4)))^0.5))),0)</f>
        <v>0</v>
      </c>
      <c r="R4" s="44">
        <f>IF(5.333&lt;=$P$1,IF(AND($I$1&gt;$A3,$I$1&lt;$A4),IF(($I$1-5.333)&lt;=0,0,$C$1*$F$1*(64.4*($I$1-5.333))^0.5),IF($I$1&lt;$A4,0,IF($A4&lt;5.333,0,$C$1*$F$1*(64.4*(($I$1-5.333)-($I$1-$A4)))^0.5))),0)</f>
        <v>0</v>
      </c>
      <c r="S4" s="44">
        <f>IF(5.666&lt;=$P$1,IF(AND($I$1&gt;$A3,$I$1&lt;$A4),IF(($I$1-5.667)&lt;=0,0,$C$1*$F$1*(64.4*($I$1-5.667))^0.5),IF($I$1&lt;$A4,0,IF($A4&lt;5.667,0,$C$1*$F$1*(64.4*(($I$1-5.667)-($I$1-$A4)))^0.5))),0)</f>
        <v>0</v>
      </c>
      <c r="T4" s="44">
        <f>IF(6&lt;=$P$1,IF(AND($I$1&gt;$A3,$I$1&lt;$A4),IF(($I$1-6)&lt;=0,0,$C$1*$F$1*(64.4*($I$1-6))^0.5),IF($I$1&lt;$A4,0,IF($A4&lt;6,0,$C$1*$F$1*(64.4*(($I$1-6)-($I$1-$A4)))^0.5))),0)</f>
        <v>0</v>
      </c>
      <c r="U4" s="44">
        <f>IF(6.333&lt;=$P$1,IF(AND($I$1&gt;$A3,$I$1&lt;$A4),IF(($I$1-6.333)&lt;=0,0,$C$1*$F$1*(64.4*($I$1-6.333))^0.5),IF($I$1&lt;$A4,0,IF($A4&lt;6.333,0,$C$1*$F$1*(64.4*(($I$1-6.333)-($I$1-$A4)))^0.5))),0)</f>
        <v>0</v>
      </c>
      <c r="V4" s="44">
        <f>IF(6.666&lt;=$P$1,IF(AND($I$1&gt;$A3,$I$1&lt;$A4),IF(($I$1-6.667)&lt;=0,0,$C$1*$F$1*(64.4*($I$1-6.667))^0.5),IF($I$1&lt;$A4,0,IF($A4&lt;6.667,0,$C$1*$F$1*(64.4*(($I$1-6.667)-($I$1-$A4)))^0.5))),0)</f>
        <v>0</v>
      </c>
      <c r="W4" s="44">
        <f>IF(7&lt;=$P$1,IF(AND($I$1&gt;$A3,$I$1&lt;$A4),IF(($I$1-7)&lt;=0,0,$C$1*$F$1*(64.4*($I$1-7))^0.5),IF($I$1&lt;$A4,0,IF($A4&lt;7,0,$C$1*$F$1*(64.4*(($I$1-7)-($I$1-$A4)))^0.5))),0)</f>
        <v>0</v>
      </c>
      <c r="X4" s="44">
        <f>IF(7.333&lt;=$P$1,IF(AND($I$1&gt;$A3,$I$1&lt;$A4),IF(($I$1-7.333)&lt;=0,0,$C$1*$F$1*(64.4*($I$1-7.333))^0.5),IF($I$1&lt;$A4,0,IF($A4&lt;7.333,0,$C$1*$F$1*(64.4*(($I$1-7.333)-($I$1-$A4)))^0.5))),0)</f>
        <v>0</v>
      </c>
      <c r="Y4" s="44">
        <f>IF(7.666&lt;=$P$1,IF(AND($I$1&gt;$A3,$I$1&lt;$A4),IF(($I$1-7.667)&lt;=0,0,$C$1*$F$1*(64.4*($I$1-7.667))^0.5),IF($I$1&lt;$A4,0,IF($A4&lt;7.667,0,$C$1*$F$1*(64.4*(($I$1-7.667)-($I$1-$A4)))^0.5))),0)</f>
        <v>0</v>
      </c>
      <c r="Z4" s="44">
        <f>IF(8&lt;=$P$1,IF(AND($I$1&gt;$A3,$I$1&lt;$A4),IF(($I$1-8)&lt;=0,0,$C$1*$F$1*(64.4*($I$1-8))^0.5),IF($I$1&lt;$A4,0,IF($A4&lt;8,0,$C$1*$F$1*(64.4*(($I$1-8)-($I$1-$A4)))^0.5))),0)</f>
        <v>0</v>
      </c>
      <c r="AA4" s="44">
        <f>IF(8.333&lt;=$P$1,IF(AND($I$1&gt;$A3,$I$1&lt;$A4),IF(($I$1-8.333)&lt;=0,0,$C$1*$F$1*(64.4*($I$1-8.333))^0.5),IF($I$1&lt;$A4,0,IF($A4&lt;8.333,0,$C$1*$F$1*(64.4*(($I$1-8.333)-($I$1-$A4)))^0.5))),0)</f>
        <v>0</v>
      </c>
      <c r="AB4" s="44">
        <f>IF(8.666&lt;=$P$1,IF(AND($I$1&gt;$A3,$I$1&lt;$A4),IF(($I$1-8.667)&lt;=0,0,$C$1*$F$1*(64.4*($I$1-8.667))^0.5),IF($I$1&lt;$A4,0,IF($A4&lt;8.667,0,$C$1*$F$1*(64.4*(($I$1-8.667)-($I$1-$A4)))^0.5))),0)</f>
        <v>0</v>
      </c>
      <c r="AC4" s="44">
        <f>IF(9&lt;=$P$1,IF(AND($I$1&gt;$A3,$I$1&lt;$A4),IF(($I$1-9)&lt;=0,0,$C$1*$F$1*(64.4*($I$1-9))^0.5),IF($I$1&lt;$A4,0,IF($A4&lt;9,0,$C$1*$F$1*(64.4*(($I$1-9)-($I$1-$A4)))^0.5))),0)</f>
        <v>0</v>
      </c>
      <c r="AD4" s="44">
        <f>IF(9.333&lt;=$P$1,IF(AND($I$1&gt;$A3,$I$1&lt;$A4),IF(($I$1-9.333)&lt;=0,0,$C$1*$F$1*(64.4*($I$1-9.333))^0.5),IF($I$1&lt;$A4,0,IF($A4&lt;9.333,0,$C$1*$F$1*(64.4*(($I$1-9.333)-($I$1-$A4)))^0.5))),0)</f>
        <v>0</v>
      </c>
      <c r="AE4" s="44">
        <f>IF(9.666&lt;=$P$1,IF(AND($I$1&gt;$A3,$I$1&lt;$A4),IF(($I$1-9.667)&lt;=0,0,$C$1*$F$1*(64.4*($I$1-9.667))^0.5),IF($I$1&lt;$A4,0,IF($A4&lt;9.667,0,$C$1*$F$1*(64.4*(($I$1-9.667)-($I$1-$A4)))^0.5))),0)</f>
        <v>0</v>
      </c>
      <c r="AF4" s="44">
        <f>IF(10&lt;=$P$1,IF(AND($I$1&gt;$A3,$I$1&lt;$A4),IF(($I$1-10)&lt;=0,0,$C$1*$F$1*(64.4*($I$1-10))^0.5),IF($I$1&lt;$A4,0,IF($A4&lt;10,0,$C$1*$F$1*(64.4*(($I$1-10)-($I$1-$A4)))^0.5))),0)</f>
        <v>0</v>
      </c>
      <c r="AG4" s="44">
        <f t="shared" ref="AG4:AG34" si="0">SUM(B4:AF4)</f>
        <v>0</v>
      </c>
    </row>
    <row r="5" spans="1:33" x14ac:dyDescent="0.25">
      <c r="A5" s="50">
        <v>0.33300000000000002</v>
      </c>
      <c r="B5" s="44">
        <f t="shared" ref="B5:B34" si="1">IF(0&lt;=$P$1,IF(AND($I$1&gt;$A4,$I$1&lt;$A5),IF(($I$1-0)&lt;=0,0,$C$1*$F$1*(64.4*($I$1))^0.5),IF($I$1&lt;$A5,0,$C$1*$F$1*(64.4*($I$1-($I$1-$A5)))^0.5)),0)</f>
        <v>0</v>
      </c>
      <c r="C5" s="44">
        <f t="shared" ref="C5:C34" si="2">IF(0.333&lt;=$P$1,IF(AND($I$1&gt;$A4,$I$1&lt;$A5),IF(($I$1-0.333)&lt;=0,0,$C$1*$F$1*(64.4*($I$1-0.333))^0.5),IF($I$1&lt;$A5,0,IF($A5&lt;0.33,0,$C$1*$F$1*(64.4*(($I$1-0.333)-($I$1-$A5)))^0.5))),0)</f>
        <v>0</v>
      </c>
      <c r="D5" s="44">
        <f t="shared" ref="D5:D34" si="3">IF(0.666&lt;=$P$1,IF(AND($I$1&gt;$A4,$I$1&lt;$A5),IF(($I$1-0.667)&lt;=0,0,$C$1*$F$1*(64.4*($I$1-0.67))^0.5),IF($I$1&lt;$A5,0,IF($A5&lt;0.67,0,$C$1*$F$1*(64.4*(($I$1-0.67)-($I$1-$A5)))^0.5))),0)</f>
        <v>0</v>
      </c>
      <c r="E5" s="44">
        <f t="shared" ref="E5:E34" si="4">IF(1&lt;=$P$1,IF(AND($I$1&gt;$A4,$I$1&lt;$A5),IF(($I$1-1)&lt;=0,0,$C$1*$F$1*(64.4*($I$1-1))^0.5),IF($I$1&lt;$A5,0,IF($A5&lt;1,0,$C$1*$F$1*(64.4*(($I$1-1)-($I$1-$A5)))^0.5))),0)</f>
        <v>0</v>
      </c>
      <c r="F5" s="44">
        <f t="shared" ref="F5:F34" si="5">IF(1.333&lt;=$P$1,IF(AND($I$1&gt;$A4,$I$1&lt;$A5),IF(($I$1-1.333)&lt;=0,0,$C$1*$F$1*(64.4*($I$1-1.333))^0.5),IF($I$1&lt;$A5,0,IF($A5&lt;1.333,0,$C$1*$F$1*(64.4*(($I$1-1.333)-($I$1-$A5)))^0.5))),0)</f>
        <v>0</v>
      </c>
      <c r="G5" s="44">
        <f t="shared" ref="G5:G34" si="6">IF(1.666&lt;=$P$1,IF(AND($I$1&gt;$A4,$I$1&lt;$A5),IF(($I$1-1.667)&lt;=0,0,$C$1*$F$1*(64.4*($I$1-1.667))^0.5),IF($I$1&lt;$A5,0,IF($A5&lt;1.667,0,$C$1*$F$1*(64.4*(($I$1-1.667)-($I$1-$A5)))^0.5))),0)</f>
        <v>0</v>
      </c>
      <c r="H5" s="44">
        <f t="shared" ref="H5:H34" si="7">IF(2&lt;=$P$1,IF(AND($I$1&gt;$A4,$I$1&lt;$A5),IF(($I$1-2)&lt;=0,0,$C$1*$F$1*(64.4*($I$1-2))^0.5),IF($I$1&lt;$A5,0,IF($A5&lt;2,0,$C$1*$F$1*(64.4*(($I$1-2)-($I$1-$A5)))^0.5))),0)</f>
        <v>0</v>
      </c>
      <c r="I5" s="44">
        <f t="shared" ref="I5:I34" si="8">IF(2.333&lt;=$P$1,IF(AND($I$1&gt;$A4,$I$1&lt;$A5),IF(($I$1-2.333)&lt;=0,0,$C$1*$F$1*(64.4*($I$1-2.333))^0.5),IF($I$1&lt;$A5,0,IF($A5&lt;2.333,0,$C$1*$F$1*(64.4*(($I$1-2.333)-($I$1-$A5)))^0.5))),0)</f>
        <v>0</v>
      </c>
      <c r="J5" s="44">
        <f t="shared" ref="J5:J34" si="9">IF(2.666&lt;=$P$1,IF(AND($I$1&gt;$A4,$I$1&lt;$A5),IF(($I$1-2.667)&lt;=0,0,$C$1*$F$1*(64.4*($I$1-2.667))^0.5),IF($I$1&lt;$A5,0,IF($A5&lt;2.667,0,$C$1*$F$1*(64.4*(($I$1-2.667)-($I$1-$A5)))^0.5))),0)</f>
        <v>0</v>
      </c>
      <c r="K5" s="44">
        <f t="shared" ref="K5:K34" si="10">IF(3&lt;=$P$1,IF(AND($I$1&gt;$A4,$I$1&lt;$A5),IF(($I$1-3)&lt;=0,0,$C$1*$F$1*(64.4*($I$1-3))^0.5),IF($I$1&lt;$A5,0,IF($A5&lt;3,0,$C$1*$F$1*(64.4*(($I$1-3)-($I$1-$A5)))^0.5))),0)</f>
        <v>0</v>
      </c>
      <c r="L5" s="44">
        <f t="shared" ref="L5:L34" si="11">IF(3.333&lt;=$P$1,IF(AND($I$1&gt;$A4,$I$1&lt;$A5),IF(($I$1-3.333)&lt;=0,0,$C$1*$F$1*(64.4*($I$1-3.333))^0.5),IF($I$1&lt;$A5,0,IF($A5&lt;3.333,0,$C$1*$F$1*(64.4*(($I$1-3.333)-($I$1-$A5)))^0.5))),0)</f>
        <v>0</v>
      </c>
      <c r="M5" s="44">
        <f t="shared" ref="M5:M34" si="12">IF(3.666&lt;=$P$1,IF(AND($I$1&gt;$A4,$I$1&lt;$A5),IF(($I$1-3.667)&lt;=0,0,$C$1*$F$1*(64.4*($I$1-3.667))^0.5),IF($I$1&lt;$A5,0,IF($A5&lt;3.667,0,$C$1*$F$1*(64.4*(($I$1-3.667)-($I$1-$A5)))^0.5))),0)</f>
        <v>0</v>
      </c>
      <c r="N5" s="44">
        <f t="shared" ref="N5:N34" si="13">IF(4&lt;=$P$1,IF(AND($I$1&gt;$A4,$I$1&lt;$A5),IF(($I$1-4)&lt;=0,0,$C$1*$F$1*(64.4*($I$1-4))^0.5),IF($I$1&lt;$A5,0,IF($A5&lt;4,0,$C$1*$F$1*(64.4*(($I$1-4)-($I$1-$A5)))^0.5))),0)</f>
        <v>0</v>
      </c>
      <c r="O5" s="44">
        <f t="shared" ref="O5:O34" si="14">IF(4.333&lt;=$P$1,IF(AND($I$1&gt;$A4,$I$1&lt;$A5),IF(($I$1-4.333)&lt;=0,0,$C$1*$F$1*(64.4*($I$1-4.333))^0.5),IF($I$1&lt;$A5,0,IF($A5&lt;4.333,0,$C$1*$F$1*(64.4*(($I$1-4.333)-($I$1-$A5)))^0.5))),0)</f>
        <v>0</v>
      </c>
      <c r="P5" s="44">
        <f t="shared" ref="P5:P34" si="15">IF(4.666&lt;=$P$1,IF(AND($I$1&gt;$A4,$I$1&lt;$A5),IF(($I$1-4.667)&lt;=0,0,$C$1*$F$1*(64.4*($I$1-4.667))^0.5),IF($I$1&lt;$A5,0,IF($A5&lt;4.667,0,$C$1*$F$1*(64.4*(($I$1-4.667)-($I$1-$A5)))^0.5))),0)</f>
        <v>0</v>
      </c>
      <c r="Q5" s="44">
        <f t="shared" ref="Q5:Q34" si="16">IF(5&lt;=$P$1,IF(AND($I$1&gt;$A4,$I$1&lt;$A5),IF(($I$1-5)&lt;=0,0,$C$1*$F$1*(64.4*($I$1-5))^0.5),IF($I$1&lt;$A5,0,IF($A5&lt;5,0,$C$1*$F$1*(64.4*(($I$1-5)-($I$1-$A5)))^0.5))),0)</f>
        <v>0</v>
      </c>
      <c r="R5" s="44">
        <f t="shared" ref="R5:R34" si="17">IF(5.333&lt;=$P$1,IF(AND($I$1&gt;$A4,$I$1&lt;$A5),IF(($I$1-5.333)&lt;=0,0,$C$1*$F$1*(64.4*($I$1-5.333))^0.5),IF($I$1&lt;$A5,0,IF($A5&lt;5.333,0,$C$1*$F$1*(64.4*(($I$1-5.333)-($I$1-$A5)))^0.5))),0)</f>
        <v>0</v>
      </c>
      <c r="S5" s="44">
        <f t="shared" ref="S5:S34" si="18">IF(5.666&lt;=$P$1,IF(AND($I$1&gt;$A4,$I$1&lt;$A5),IF(($I$1-5.667)&lt;=0,0,$C$1*$F$1*(64.4*($I$1-5.667))^0.5),IF($I$1&lt;$A5,0,IF($A5&lt;5.667,0,$C$1*$F$1*(64.4*(($I$1-5.667)-($I$1-$A5)))^0.5))),0)</f>
        <v>0</v>
      </c>
      <c r="T5" s="44">
        <f t="shared" ref="T5:T34" si="19">IF(6&lt;=$P$1,IF(AND($I$1&gt;$A4,$I$1&lt;$A5),IF(($I$1-6)&lt;=0,0,$C$1*$F$1*(64.4*($I$1-6))^0.5),IF($I$1&lt;$A5,0,IF($A5&lt;6,0,$C$1*$F$1*(64.4*(($I$1-6)-($I$1-$A5)))^0.5))),0)</f>
        <v>0</v>
      </c>
      <c r="U5" s="44">
        <f t="shared" ref="U5:U34" si="20">IF(6.333&lt;=$P$1,IF(AND($I$1&gt;$A4,$I$1&lt;$A5),IF(($I$1-6.333)&lt;=0,0,$C$1*$F$1*(64.4*($I$1-6.333))^0.5),IF($I$1&lt;$A5,0,IF($A5&lt;6.333,0,$C$1*$F$1*(64.4*(($I$1-6.333)-($I$1-$A5)))^0.5))),0)</f>
        <v>0</v>
      </c>
      <c r="V5" s="44">
        <f t="shared" ref="V5:V34" si="21">IF(6.666&lt;=$P$1,IF(AND($I$1&gt;$A4,$I$1&lt;$A5),IF(($I$1-6.667)&lt;=0,0,$C$1*$F$1*(64.4*($I$1-6.667))^0.5),IF($I$1&lt;$A5,0,IF($A5&lt;6.667,0,$C$1*$F$1*(64.4*(($I$1-6.667)-($I$1-$A5)))^0.5))),0)</f>
        <v>0</v>
      </c>
      <c r="W5" s="44">
        <f t="shared" ref="W5:W34" si="22">IF(7&lt;=$P$1,IF(AND($I$1&gt;$A4,$I$1&lt;$A5),IF(($I$1-7)&lt;=0,0,$C$1*$F$1*(64.4*($I$1-7))^0.5),IF($I$1&lt;$A5,0,IF($A5&lt;7,0,$C$1*$F$1*(64.4*(($I$1-7)-($I$1-$A5)))^0.5))),0)</f>
        <v>0</v>
      </c>
      <c r="X5" s="44">
        <f t="shared" ref="X5:X34" si="23">IF(7.333&lt;=$P$1,IF(AND($I$1&gt;$A4,$I$1&lt;$A5),IF(($I$1-7.333)&lt;=0,0,$C$1*$F$1*(64.4*($I$1-7.333))^0.5),IF($I$1&lt;$A5,0,IF($A5&lt;7.333,0,$C$1*$F$1*(64.4*(($I$1-7.333)-($I$1-$A5)))^0.5))),0)</f>
        <v>0</v>
      </c>
      <c r="Y5" s="44">
        <f t="shared" ref="Y5:Y34" si="24">IF(7.666&lt;=$P$1,IF(AND($I$1&gt;$A4,$I$1&lt;$A5),IF(($I$1-7.667)&lt;=0,0,$C$1*$F$1*(64.4*($I$1-7.667))^0.5),IF($I$1&lt;$A5,0,IF($A5&lt;7.667,0,$C$1*$F$1*(64.4*(($I$1-7.667)-($I$1-$A5)))^0.5))),0)</f>
        <v>0</v>
      </c>
      <c r="Z5" s="44">
        <f t="shared" ref="Z5:Z34" si="25">IF(8&lt;=$P$1,IF(AND($I$1&gt;$A4,$I$1&lt;$A5),IF(($I$1-8)&lt;=0,0,$C$1*$F$1*(64.4*($I$1-8))^0.5),IF($I$1&lt;$A5,0,IF($A5&lt;8,0,$C$1*$F$1*(64.4*(($I$1-8)-($I$1-$A5)))^0.5))),0)</f>
        <v>0</v>
      </c>
      <c r="AA5" s="44">
        <f t="shared" ref="AA5:AA34" si="26">IF(8.333&lt;=$P$1,IF(AND($I$1&gt;$A4,$I$1&lt;$A5),IF(($I$1-8.333)&lt;=0,0,$C$1*$F$1*(64.4*($I$1-8.333))^0.5),IF($I$1&lt;$A5,0,IF($A5&lt;8.333,0,$C$1*$F$1*(64.4*(($I$1-8.333)-($I$1-$A5)))^0.5))),0)</f>
        <v>0</v>
      </c>
      <c r="AB5" s="44">
        <f t="shared" ref="AB5:AB34" si="27">IF(8.666&lt;=$P$1,IF(AND($I$1&gt;$A4,$I$1&lt;$A5),IF(($I$1-8.667)&lt;=0,0,$C$1*$F$1*(64.4*($I$1-8.667))^0.5),IF($I$1&lt;$A5,0,IF($A5&lt;8.667,0,$C$1*$F$1*(64.4*(($I$1-8.667)-($I$1-$A5)))^0.5))),0)</f>
        <v>0</v>
      </c>
      <c r="AC5" s="44">
        <f t="shared" ref="AC5:AC34" si="28">IF(9&lt;=$P$1,IF(AND($I$1&gt;$A4,$I$1&lt;$A5),IF(($I$1-9)&lt;=0,0,$C$1*$F$1*(64.4*($I$1-9))^0.5),IF($I$1&lt;$A5,0,IF($A5&lt;9,0,$C$1*$F$1*(64.4*(($I$1-9)-($I$1-$A5)))^0.5))),0)</f>
        <v>0</v>
      </c>
      <c r="AD5" s="44">
        <f t="shared" ref="AD5:AD34" si="29">IF(9.333&lt;=$P$1,IF(AND($I$1&gt;$A4,$I$1&lt;$A5),IF(($I$1-9.333)&lt;=0,0,$C$1*$F$1*(64.4*($I$1-9.333))^0.5),IF($I$1&lt;$A5,0,IF($A5&lt;9.333,0,$C$1*$F$1*(64.4*(($I$1-9.333)-($I$1-$A5)))^0.5))),0)</f>
        <v>0</v>
      </c>
      <c r="AE5" s="44">
        <f t="shared" ref="AE5:AE34" si="30">IF(9.666&lt;=$P$1,IF(AND($I$1&gt;$A4,$I$1&lt;$A5),IF(($I$1-9.667)&lt;=0,0,$C$1*$F$1*(64.4*($I$1-9.667))^0.5),IF($I$1&lt;$A5,0,IF($A5&lt;9.667,0,$C$1*$F$1*(64.4*(($I$1-9.667)-($I$1-$A5)))^0.5))),0)</f>
        <v>0</v>
      </c>
      <c r="AF5" s="44">
        <f t="shared" ref="AF5:AF34" si="31">IF(10&lt;=$P$1,IF(AND($I$1&gt;$A4,$I$1&lt;$A5),IF(($I$1-10)&lt;=0,0,$C$1*$F$1*(64.4*($I$1-10))^0.5),IF($I$1&lt;$A5,0,IF($A5&lt;10,0,$C$1*$F$1*(64.4*(($I$1-10)-($I$1-$A5)))^0.5))),0)</f>
        <v>0</v>
      </c>
      <c r="AG5" s="44">
        <f t="shared" si="0"/>
        <v>0</v>
      </c>
    </row>
    <row r="6" spans="1:33" x14ac:dyDescent="0.25">
      <c r="A6" s="50">
        <v>0.66700000000000004</v>
      </c>
      <c r="B6" s="44">
        <f t="shared" si="1"/>
        <v>0</v>
      </c>
      <c r="C6" s="44">
        <f t="shared" si="2"/>
        <v>0</v>
      </c>
      <c r="D6" s="44">
        <f t="shared" si="3"/>
        <v>0</v>
      </c>
      <c r="E6" s="44">
        <f t="shared" si="4"/>
        <v>0</v>
      </c>
      <c r="F6" s="44">
        <f t="shared" si="5"/>
        <v>0</v>
      </c>
      <c r="G6" s="44">
        <f t="shared" si="6"/>
        <v>0</v>
      </c>
      <c r="H6" s="44">
        <f t="shared" si="7"/>
        <v>0</v>
      </c>
      <c r="I6" s="44">
        <f t="shared" si="8"/>
        <v>0</v>
      </c>
      <c r="J6" s="44">
        <f t="shared" si="9"/>
        <v>0</v>
      </c>
      <c r="K6" s="44">
        <f t="shared" si="10"/>
        <v>0</v>
      </c>
      <c r="L6" s="44">
        <f t="shared" si="11"/>
        <v>0</v>
      </c>
      <c r="M6" s="44">
        <f t="shared" si="12"/>
        <v>0</v>
      </c>
      <c r="N6" s="44">
        <f t="shared" si="13"/>
        <v>0</v>
      </c>
      <c r="O6" s="44">
        <f t="shared" si="14"/>
        <v>0</v>
      </c>
      <c r="P6" s="44">
        <f t="shared" si="15"/>
        <v>0</v>
      </c>
      <c r="Q6" s="44">
        <f t="shared" si="16"/>
        <v>0</v>
      </c>
      <c r="R6" s="44">
        <f t="shared" si="17"/>
        <v>0</v>
      </c>
      <c r="S6" s="44">
        <f t="shared" si="18"/>
        <v>0</v>
      </c>
      <c r="T6" s="44">
        <f t="shared" si="19"/>
        <v>0</v>
      </c>
      <c r="U6" s="44">
        <f t="shared" si="20"/>
        <v>0</v>
      </c>
      <c r="V6" s="44">
        <f t="shared" si="21"/>
        <v>0</v>
      </c>
      <c r="W6" s="44">
        <f t="shared" si="22"/>
        <v>0</v>
      </c>
      <c r="X6" s="44">
        <f t="shared" si="23"/>
        <v>0</v>
      </c>
      <c r="Y6" s="44">
        <f t="shared" si="24"/>
        <v>0</v>
      </c>
      <c r="Z6" s="44">
        <f t="shared" si="25"/>
        <v>0</v>
      </c>
      <c r="AA6" s="44">
        <f t="shared" si="26"/>
        <v>0</v>
      </c>
      <c r="AB6" s="44">
        <f t="shared" si="27"/>
        <v>0</v>
      </c>
      <c r="AC6" s="44">
        <f t="shared" si="28"/>
        <v>0</v>
      </c>
      <c r="AD6" s="44">
        <f t="shared" si="29"/>
        <v>0</v>
      </c>
      <c r="AE6" s="44">
        <f t="shared" si="30"/>
        <v>0</v>
      </c>
      <c r="AF6" s="44">
        <f t="shared" si="31"/>
        <v>0</v>
      </c>
      <c r="AG6" s="44">
        <f t="shared" si="0"/>
        <v>0</v>
      </c>
    </row>
    <row r="7" spans="1:33" x14ac:dyDescent="0.25">
      <c r="A7" s="50">
        <v>1</v>
      </c>
      <c r="B7" s="44">
        <f t="shared" si="1"/>
        <v>0</v>
      </c>
      <c r="C7" s="44">
        <f t="shared" si="2"/>
        <v>0</v>
      </c>
      <c r="D7" s="44">
        <f t="shared" si="3"/>
        <v>0</v>
      </c>
      <c r="E7" s="44">
        <f t="shared" si="4"/>
        <v>0</v>
      </c>
      <c r="F7" s="44">
        <f t="shared" si="5"/>
        <v>0</v>
      </c>
      <c r="G7" s="44">
        <f t="shared" si="6"/>
        <v>0</v>
      </c>
      <c r="H7" s="44">
        <f t="shared" si="7"/>
        <v>0</v>
      </c>
      <c r="I7" s="44">
        <f t="shared" si="8"/>
        <v>0</v>
      </c>
      <c r="J7" s="44">
        <f t="shared" si="9"/>
        <v>0</v>
      </c>
      <c r="K7" s="44">
        <f t="shared" si="10"/>
        <v>0</v>
      </c>
      <c r="L7" s="44">
        <f t="shared" si="11"/>
        <v>0</v>
      </c>
      <c r="M7" s="44">
        <f t="shared" si="12"/>
        <v>0</v>
      </c>
      <c r="N7" s="44">
        <f t="shared" si="13"/>
        <v>0</v>
      </c>
      <c r="O7" s="44">
        <f t="shared" si="14"/>
        <v>0</v>
      </c>
      <c r="P7" s="44">
        <f t="shared" si="15"/>
        <v>0</v>
      </c>
      <c r="Q7" s="44">
        <f t="shared" si="16"/>
        <v>0</v>
      </c>
      <c r="R7" s="44">
        <f t="shared" si="17"/>
        <v>0</v>
      </c>
      <c r="S7" s="44">
        <f t="shared" si="18"/>
        <v>0</v>
      </c>
      <c r="T7" s="44">
        <f t="shared" si="19"/>
        <v>0</v>
      </c>
      <c r="U7" s="44">
        <f t="shared" si="20"/>
        <v>0</v>
      </c>
      <c r="V7" s="44">
        <f t="shared" si="21"/>
        <v>0</v>
      </c>
      <c r="W7" s="44">
        <f t="shared" si="22"/>
        <v>0</v>
      </c>
      <c r="X7" s="44">
        <f t="shared" si="23"/>
        <v>0</v>
      </c>
      <c r="Y7" s="44">
        <f t="shared" si="24"/>
        <v>0</v>
      </c>
      <c r="Z7" s="44">
        <f t="shared" si="25"/>
        <v>0</v>
      </c>
      <c r="AA7" s="44">
        <f t="shared" si="26"/>
        <v>0</v>
      </c>
      <c r="AB7" s="44">
        <f t="shared" si="27"/>
        <v>0</v>
      </c>
      <c r="AC7" s="44">
        <f t="shared" si="28"/>
        <v>0</v>
      </c>
      <c r="AD7" s="44">
        <f t="shared" si="29"/>
        <v>0</v>
      </c>
      <c r="AE7" s="44">
        <f t="shared" si="30"/>
        <v>0</v>
      </c>
      <c r="AF7" s="44">
        <f t="shared" si="31"/>
        <v>0</v>
      </c>
      <c r="AG7" s="44">
        <f t="shared" si="0"/>
        <v>0</v>
      </c>
    </row>
    <row r="8" spans="1:33" x14ac:dyDescent="0.25">
      <c r="A8" s="50">
        <v>1.333</v>
      </c>
      <c r="B8" s="44">
        <f t="shared" si="1"/>
        <v>0</v>
      </c>
      <c r="C8" s="44">
        <f t="shared" si="2"/>
        <v>0</v>
      </c>
      <c r="D8" s="44">
        <f t="shared" si="3"/>
        <v>0</v>
      </c>
      <c r="E8" s="44">
        <f t="shared" si="4"/>
        <v>0</v>
      </c>
      <c r="F8" s="44">
        <f t="shared" si="5"/>
        <v>0</v>
      </c>
      <c r="G8" s="44">
        <f t="shared" si="6"/>
        <v>0</v>
      </c>
      <c r="H8" s="44">
        <f t="shared" si="7"/>
        <v>0</v>
      </c>
      <c r="I8" s="44">
        <f t="shared" si="8"/>
        <v>0</v>
      </c>
      <c r="J8" s="44">
        <f t="shared" si="9"/>
        <v>0</v>
      </c>
      <c r="K8" s="44">
        <f t="shared" si="10"/>
        <v>0</v>
      </c>
      <c r="L8" s="44">
        <f t="shared" si="11"/>
        <v>0</v>
      </c>
      <c r="M8" s="44">
        <f t="shared" si="12"/>
        <v>0</v>
      </c>
      <c r="N8" s="44">
        <f t="shared" si="13"/>
        <v>0</v>
      </c>
      <c r="O8" s="44">
        <f t="shared" si="14"/>
        <v>0</v>
      </c>
      <c r="P8" s="44">
        <f t="shared" si="15"/>
        <v>0</v>
      </c>
      <c r="Q8" s="44">
        <f t="shared" si="16"/>
        <v>0</v>
      </c>
      <c r="R8" s="44">
        <f t="shared" si="17"/>
        <v>0</v>
      </c>
      <c r="S8" s="44">
        <f t="shared" si="18"/>
        <v>0</v>
      </c>
      <c r="T8" s="44">
        <f t="shared" si="19"/>
        <v>0</v>
      </c>
      <c r="U8" s="44">
        <f t="shared" si="20"/>
        <v>0</v>
      </c>
      <c r="V8" s="44">
        <f t="shared" si="21"/>
        <v>0</v>
      </c>
      <c r="W8" s="44">
        <f t="shared" si="22"/>
        <v>0</v>
      </c>
      <c r="X8" s="44">
        <f t="shared" si="23"/>
        <v>0</v>
      </c>
      <c r="Y8" s="44">
        <f t="shared" si="24"/>
        <v>0</v>
      </c>
      <c r="Z8" s="44">
        <f t="shared" si="25"/>
        <v>0</v>
      </c>
      <c r="AA8" s="44">
        <f t="shared" si="26"/>
        <v>0</v>
      </c>
      <c r="AB8" s="44">
        <f t="shared" si="27"/>
        <v>0</v>
      </c>
      <c r="AC8" s="44">
        <f t="shared" si="28"/>
        <v>0</v>
      </c>
      <c r="AD8" s="44">
        <f t="shared" si="29"/>
        <v>0</v>
      </c>
      <c r="AE8" s="44">
        <f t="shared" si="30"/>
        <v>0</v>
      </c>
      <c r="AF8" s="44">
        <f t="shared" si="31"/>
        <v>0</v>
      </c>
      <c r="AG8" s="44">
        <f t="shared" si="0"/>
        <v>0</v>
      </c>
    </row>
    <row r="9" spans="1:33" x14ac:dyDescent="0.25">
      <c r="A9" s="50">
        <v>1.667</v>
      </c>
      <c r="B9" s="44">
        <f t="shared" si="1"/>
        <v>0</v>
      </c>
      <c r="C9" s="44">
        <f t="shared" si="2"/>
        <v>0</v>
      </c>
      <c r="D9" s="44">
        <f t="shared" si="3"/>
        <v>0</v>
      </c>
      <c r="E9" s="44">
        <f t="shared" si="4"/>
        <v>0</v>
      </c>
      <c r="F9" s="44">
        <f t="shared" si="5"/>
        <v>0</v>
      </c>
      <c r="G9" s="44">
        <f t="shared" si="6"/>
        <v>0</v>
      </c>
      <c r="H9" s="44">
        <f t="shared" si="7"/>
        <v>0</v>
      </c>
      <c r="I9" s="44">
        <f t="shared" si="8"/>
        <v>0</v>
      </c>
      <c r="J9" s="44">
        <f t="shared" si="9"/>
        <v>0</v>
      </c>
      <c r="K9" s="44">
        <f t="shared" si="10"/>
        <v>0</v>
      </c>
      <c r="L9" s="44">
        <f t="shared" si="11"/>
        <v>0</v>
      </c>
      <c r="M9" s="44">
        <f t="shared" si="12"/>
        <v>0</v>
      </c>
      <c r="N9" s="44">
        <f t="shared" si="13"/>
        <v>0</v>
      </c>
      <c r="O9" s="44">
        <f t="shared" si="14"/>
        <v>0</v>
      </c>
      <c r="P9" s="44">
        <f t="shared" si="15"/>
        <v>0</v>
      </c>
      <c r="Q9" s="44">
        <f t="shared" si="16"/>
        <v>0</v>
      </c>
      <c r="R9" s="44">
        <f t="shared" si="17"/>
        <v>0</v>
      </c>
      <c r="S9" s="44">
        <f t="shared" si="18"/>
        <v>0</v>
      </c>
      <c r="T9" s="44">
        <f t="shared" si="19"/>
        <v>0</v>
      </c>
      <c r="U9" s="44">
        <f t="shared" si="20"/>
        <v>0</v>
      </c>
      <c r="V9" s="44">
        <f t="shared" si="21"/>
        <v>0</v>
      </c>
      <c r="W9" s="44">
        <f t="shared" si="22"/>
        <v>0</v>
      </c>
      <c r="X9" s="44">
        <f t="shared" si="23"/>
        <v>0</v>
      </c>
      <c r="Y9" s="44">
        <f t="shared" si="24"/>
        <v>0</v>
      </c>
      <c r="Z9" s="44">
        <f t="shared" si="25"/>
        <v>0</v>
      </c>
      <c r="AA9" s="44">
        <f t="shared" si="26"/>
        <v>0</v>
      </c>
      <c r="AB9" s="44">
        <f t="shared" si="27"/>
        <v>0</v>
      </c>
      <c r="AC9" s="44">
        <f t="shared" si="28"/>
        <v>0</v>
      </c>
      <c r="AD9" s="44">
        <f t="shared" si="29"/>
        <v>0</v>
      </c>
      <c r="AE9" s="44">
        <f t="shared" si="30"/>
        <v>0</v>
      </c>
      <c r="AF9" s="44">
        <f t="shared" si="31"/>
        <v>0</v>
      </c>
      <c r="AG9" s="44">
        <f t="shared" si="0"/>
        <v>0</v>
      </c>
    </row>
    <row r="10" spans="1:33" x14ac:dyDescent="0.25">
      <c r="A10" s="50">
        <v>2</v>
      </c>
      <c r="B10" s="44">
        <f t="shared" si="1"/>
        <v>0</v>
      </c>
      <c r="C10" s="44">
        <f t="shared" si="2"/>
        <v>0</v>
      </c>
      <c r="D10" s="44">
        <f t="shared" si="3"/>
        <v>0</v>
      </c>
      <c r="E10" s="44">
        <f t="shared" si="4"/>
        <v>0</v>
      </c>
      <c r="F10" s="44">
        <f t="shared" si="5"/>
        <v>0</v>
      </c>
      <c r="G10" s="44">
        <f t="shared" si="6"/>
        <v>0</v>
      </c>
      <c r="H10" s="44">
        <f t="shared" si="7"/>
        <v>0</v>
      </c>
      <c r="I10" s="44">
        <f t="shared" si="8"/>
        <v>0</v>
      </c>
      <c r="J10" s="44">
        <f t="shared" si="9"/>
        <v>0</v>
      </c>
      <c r="K10" s="44">
        <f t="shared" si="10"/>
        <v>0</v>
      </c>
      <c r="L10" s="44">
        <f t="shared" si="11"/>
        <v>0</v>
      </c>
      <c r="M10" s="44">
        <f t="shared" si="12"/>
        <v>0</v>
      </c>
      <c r="N10" s="44">
        <f t="shared" si="13"/>
        <v>0</v>
      </c>
      <c r="O10" s="44">
        <f t="shared" si="14"/>
        <v>0</v>
      </c>
      <c r="P10" s="44">
        <f t="shared" si="15"/>
        <v>0</v>
      </c>
      <c r="Q10" s="44">
        <f t="shared" si="16"/>
        <v>0</v>
      </c>
      <c r="R10" s="44">
        <f t="shared" si="17"/>
        <v>0</v>
      </c>
      <c r="S10" s="44">
        <f t="shared" si="18"/>
        <v>0</v>
      </c>
      <c r="T10" s="44">
        <f t="shared" si="19"/>
        <v>0</v>
      </c>
      <c r="U10" s="44">
        <f t="shared" si="20"/>
        <v>0</v>
      </c>
      <c r="V10" s="44">
        <f t="shared" si="21"/>
        <v>0</v>
      </c>
      <c r="W10" s="44">
        <f t="shared" si="22"/>
        <v>0</v>
      </c>
      <c r="X10" s="44">
        <f t="shared" si="23"/>
        <v>0</v>
      </c>
      <c r="Y10" s="44">
        <f t="shared" si="24"/>
        <v>0</v>
      </c>
      <c r="Z10" s="44">
        <f t="shared" si="25"/>
        <v>0</v>
      </c>
      <c r="AA10" s="44">
        <f t="shared" si="26"/>
        <v>0</v>
      </c>
      <c r="AB10" s="44">
        <f t="shared" si="27"/>
        <v>0</v>
      </c>
      <c r="AC10" s="44">
        <f t="shared" si="28"/>
        <v>0</v>
      </c>
      <c r="AD10" s="44">
        <f t="shared" si="29"/>
        <v>0</v>
      </c>
      <c r="AE10" s="44">
        <f t="shared" si="30"/>
        <v>0</v>
      </c>
      <c r="AF10" s="44">
        <f t="shared" si="31"/>
        <v>0</v>
      </c>
      <c r="AG10" s="44">
        <f t="shared" si="0"/>
        <v>0</v>
      </c>
    </row>
    <row r="11" spans="1:33" x14ac:dyDescent="0.25">
      <c r="A11" s="50">
        <v>2.3330000000000002</v>
      </c>
      <c r="B11" s="44">
        <f t="shared" si="1"/>
        <v>0</v>
      </c>
      <c r="C11" s="44">
        <f t="shared" si="2"/>
        <v>0</v>
      </c>
      <c r="D11" s="44">
        <f t="shared" si="3"/>
        <v>0</v>
      </c>
      <c r="E11" s="44">
        <f t="shared" si="4"/>
        <v>0</v>
      </c>
      <c r="F11" s="44">
        <f t="shared" si="5"/>
        <v>0</v>
      </c>
      <c r="G11" s="44">
        <f t="shared" si="6"/>
        <v>0</v>
      </c>
      <c r="H11" s="44">
        <f t="shared" si="7"/>
        <v>0</v>
      </c>
      <c r="I11" s="44">
        <f t="shared" si="8"/>
        <v>0</v>
      </c>
      <c r="J11" s="44">
        <f t="shared" si="9"/>
        <v>0</v>
      </c>
      <c r="K11" s="44">
        <f t="shared" si="10"/>
        <v>0</v>
      </c>
      <c r="L11" s="44">
        <f t="shared" si="11"/>
        <v>0</v>
      </c>
      <c r="M11" s="44">
        <f t="shared" si="12"/>
        <v>0</v>
      </c>
      <c r="N11" s="44">
        <f t="shared" si="13"/>
        <v>0</v>
      </c>
      <c r="O11" s="44">
        <f t="shared" si="14"/>
        <v>0</v>
      </c>
      <c r="P11" s="44">
        <f t="shared" si="15"/>
        <v>0</v>
      </c>
      <c r="Q11" s="44">
        <f t="shared" si="16"/>
        <v>0</v>
      </c>
      <c r="R11" s="44">
        <f t="shared" si="17"/>
        <v>0</v>
      </c>
      <c r="S11" s="44">
        <f t="shared" si="18"/>
        <v>0</v>
      </c>
      <c r="T11" s="44">
        <f t="shared" si="19"/>
        <v>0</v>
      </c>
      <c r="U11" s="44">
        <f t="shared" si="20"/>
        <v>0</v>
      </c>
      <c r="V11" s="44">
        <f t="shared" si="21"/>
        <v>0</v>
      </c>
      <c r="W11" s="44">
        <f t="shared" si="22"/>
        <v>0</v>
      </c>
      <c r="X11" s="44">
        <f t="shared" si="23"/>
        <v>0</v>
      </c>
      <c r="Y11" s="44">
        <f t="shared" si="24"/>
        <v>0</v>
      </c>
      <c r="Z11" s="44">
        <f t="shared" si="25"/>
        <v>0</v>
      </c>
      <c r="AA11" s="44">
        <f t="shared" si="26"/>
        <v>0</v>
      </c>
      <c r="AB11" s="44">
        <f t="shared" si="27"/>
        <v>0</v>
      </c>
      <c r="AC11" s="44">
        <f t="shared" si="28"/>
        <v>0</v>
      </c>
      <c r="AD11" s="44">
        <f t="shared" si="29"/>
        <v>0</v>
      </c>
      <c r="AE11" s="44">
        <f t="shared" si="30"/>
        <v>0</v>
      </c>
      <c r="AF11" s="44">
        <f t="shared" si="31"/>
        <v>0</v>
      </c>
      <c r="AG11" s="44">
        <f t="shared" si="0"/>
        <v>0</v>
      </c>
    </row>
    <row r="12" spans="1:33" x14ac:dyDescent="0.25">
      <c r="A12" s="50">
        <v>2.6669999999999998</v>
      </c>
      <c r="B12" s="44">
        <f t="shared" si="1"/>
        <v>0</v>
      </c>
      <c r="C12" s="44">
        <f t="shared" si="2"/>
        <v>0</v>
      </c>
      <c r="D12" s="44">
        <f t="shared" si="3"/>
        <v>0</v>
      </c>
      <c r="E12" s="44">
        <f t="shared" si="4"/>
        <v>0</v>
      </c>
      <c r="F12" s="44">
        <f t="shared" si="5"/>
        <v>0</v>
      </c>
      <c r="G12" s="44">
        <f t="shared" si="6"/>
        <v>0</v>
      </c>
      <c r="H12" s="44">
        <f t="shared" si="7"/>
        <v>0</v>
      </c>
      <c r="I12" s="44">
        <f t="shared" si="8"/>
        <v>0</v>
      </c>
      <c r="J12" s="44">
        <f t="shared" si="9"/>
        <v>0</v>
      </c>
      <c r="K12" s="44">
        <f t="shared" si="10"/>
        <v>0</v>
      </c>
      <c r="L12" s="44">
        <f t="shared" si="11"/>
        <v>0</v>
      </c>
      <c r="M12" s="44">
        <f t="shared" si="12"/>
        <v>0</v>
      </c>
      <c r="N12" s="44">
        <f t="shared" si="13"/>
        <v>0</v>
      </c>
      <c r="O12" s="44">
        <f t="shared" si="14"/>
        <v>0</v>
      </c>
      <c r="P12" s="44">
        <f t="shared" si="15"/>
        <v>0</v>
      </c>
      <c r="Q12" s="44">
        <f t="shared" si="16"/>
        <v>0</v>
      </c>
      <c r="R12" s="44">
        <f t="shared" si="17"/>
        <v>0</v>
      </c>
      <c r="S12" s="44">
        <f t="shared" si="18"/>
        <v>0</v>
      </c>
      <c r="T12" s="44">
        <f t="shared" si="19"/>
        <v>0</v>
      </c>
      <c r="U12" s="44">
        <f t="shared" si="20"/>
        <v>0</v>
      </c>
      <c r="V12" s="44">
        <f t="shared" si="21"/>
        <v>0</v>
      </c>
      <c r="W12" s="44">
        <f t="shared" si="22"/>
        <v>0</v>
      </c>
      <c r="X12" s="44">
        <f t="shared" si="23"/>
        <v>0</v>
      </c>
      <c r="Y12" s="44">
        <f t="shared" si="24"/>
        <v>0</v>
      </c>
      <c r="Z12" s="44">
        <f t="shared" si="25"/>
        <v>0</v>
      </c>
      <c r="AA12" s="44">
        <f t="shared" si="26"/>
        <v>0</v>
      </c>
      <c r="AB12" s="44">
        <f t="shared" si="27"/>
        <v>0</v>
      </c>
      <c r="AC12" s="44">
        <f t="shared" si="28"/>
        <v>0</v>
      </c>
      <c r="AD12" s="44">
        <f t="shared" si="29"/>
        <v>0</v>
      </c>
      <c r="AE12" s="44">
        <f t="shared" si="30"/>
        <v>0</v>
      </c>
      <c r="AF12" s="44">
        <f t="shared" si="31"/>
        <v>0</v>
      </c>
      <c r="AG12" s="44">
        <f t="shared" si="0"/>
        <v>0</v>
      </c>
    </row>
    <row r="13" spans="1:33" x14ac:dyDescent="0.25">
      <c r="A13" s="50">
        <v>3</v>
      </c>
      <c r="B13" s="44">
        <f t="shared" si="1"/>
        <v>0</v>
      </c>
      <c r="C13" s="44">
        <f t="shared" si="2"/>
        <v>0</v>
      </c>
      <c r="D13" s="44">
        <f t="shared" si="3"/>
        <v>0</v>
      </c>
      <c r="E13" s="44">
        <f t="shared" si="4"/>
        <v>0</v>
      </c>
      <c r="F13" s="44">
        <f t="shared" si="5"/>
        <v>0</v>
      </c>
      <c r="G13" s="44">
        <f t="shared" si="6"/>
        <v>0</v>
      </c>
      <c r="H13" s="44">
        <f t="shared" si="7"/>
        <v>0</v>
      </c>
      <c r="I13" s="44">
        <f t="shared" si="8"/>
        <v>0</v>
      </c>
      <c r="J13" s="44">
        <f t="shared" si="9"/>
        <v>0</v>
      </c>
      <c r="K13" s="44">
        <f t="shared" si="10"/>
        <v>0</v>
      </c>
      <c r="L13" s="44">
        <f t="shared" si="11"/>
        <v>0</v>
      </c>
      <c r="M13" s="44">
        <f t="shared" si="12"/>
        <v>0</v>
      </c>
      <c r="N13" s="44">
        <f t="shared" si="13"/>
        <v>0</v>
      </c>
      <c r="O13" s="44">
        <f t="shared" si="14"/>
        <v>0</v>
      </c>
      <c r="P13" s="44">
        <f t="shared" si="15"/>
        <v>0</v>
      </c>
      <c r="Q13" s="44">
        <f t="shared" si="16"/>
        <v>0</v>
      </c>
      <c r="R13" s="44">
        <f t="shared" si="17"/>
        <v>0</v>
      </c>
      <c r="S13" s="44">
        <f t="shared" si="18"/>
        <v>0</v>
      </c>
      <c r="T13" s="44">
        <f t="shared" si="19"/>
        <v>0</v>
      </c>
      <c r="U13" s="44">
        <f t="shared" si="20"/>
        <v>0</v>
      </c>
      <c r="V13" s="44">
        <f t="shared" si="21"/>
        <v>0</v>
      </c>
      <c r="W13" s="44">
        <f t="shared" si="22"/>
        <v>0</v>
      </c>
      <c r="X13" s="44">
        <f t="shared" si="23"/>
        <v>0</v>
      </c>
      <c r="Y13" s="44">
        <f t="shared" si="24"/>
        <v>0</v>
      </c>
      <c r="Z13" s="44">
        <f t="shared" si="25"/>
        <v>0</v>
      </c>
      <c r="AA13" s="44">
        <f t="shared" si="26"/>
        <v>0</v>
      </c>
      <c r="AB13" s="44">
        <f t="shared" si="27"/>
        <v>0</v>
      </c>
      <c r="AC13" s="44">
        <f t="shared" si="28"/>
        <v>0</v>
      </c>
      <c r="AD13" s="44">
        <f t="shared" si="29"/>
        <v>0</v>
      </c>
      <c r="AE13" s="44">
        <f t="shared" si="30"/>
        <v>0</v>
      </c>
      <c r="AF13" s="44">
        <f t="shared" si="31"/>
        <v>0</v>
      </c>
      <c r="AG13" s="44">
        <f t="shared" si="0"/>
        <v>0</v>
      </c>
    </row>
    <row r="14" spans="1:33" x14ac:dyDescent="0.25">
      <c r="A14" s="50">
        <v>3.3330000000000002</v>
      </c>
      <c r="B14" s="44">
        <f t="shared" si="1"/>
        <v>0</v>
      </c>
      <c r="C14" s="44">
        <f t="shared" si="2"/>
        <v>0</v>
      </c>
      <c r="D14" s="44">
        <f t="shared" si="3"/>
        <v>0</v>
      </c>
      <c r="E14" s="44">
        <f t="shared" si="4"/>
        <v>0</v>
      </c>
      <c r="F14" s="44">
        <f t="shared" si="5"/>
        <v>0</v>
      </c>
      <c r="G14" s="44">
        <f t="shared" si="6"/>
        <v>0</v>
      </c>
      <c r="H14" s="44">
        <f t="shared" si="7"/>
        <v>0</v>
      </c>
      <c r="I14" s="44">
        <f t="shared" si="8"/>
        <v>0</v>
      </c>
      <c r="J14" s="44">
        <f t="shared" si="9"/>
        <v>0</v>
      </c>
      <c r="K14" s="44">
        <f t="shared" si="10"/>
        <v>0</v>
      </c>
      <c r="L14" s="44">
        <f t="shared" si="11"/>
        <v>0</v>
      </c>
      <c r="M14" s="44">
        <f t="shared" si="12"/>
        <v>0</v>
      </c>
      <c r="N14" s="44">
        <f t="shared" si="13"/>
        <v>0</v>
      </c>
      <c r="O14" s="44">
        <f t="shared" si="14"/>
        <v>0</v>
      </c>
      <c r="P14" s="44">
        <f t="shared" si="15"/>
        <v>0</v>
      </c>
      <c r="Q14" s="44">
        <f t="shared" si="16"/>
        <v>0</v>
      </c>
      <c r="R14" s="44">
        <f t="shared" si="17"/>
        <v>0</v>
      </c>
      <c r="S14" s="44">
        <f t="shared" si="18"/>
        <v>0</v>
      </c>
      <c r="T14" s="44">
        <f t="shared" si="19"/>
        <v>0</v>
      </c>
      <c r="U14" s="44">
        <f t="shared" si="20"/>
        <v>0</v>
      </c>
      <c r="V14" s="44">
        <f t="shared" si="21"/>
        <v>0</v>
      </c>
      <c r="W14" s="44">
        <f t="shared" si="22"/>
        <v>0</v>
      </c>
      <c r="X14" s="44">
        <f t="shared" si="23"/>
        <v>0</v>
      </c>
      <c r="Y14" s="44">
        <f t="shared" si="24"/>
        <v>0</v>
      </c>
      <c r="Z14" s="44">
        <f t="shared" si="25"/>
        <v>0</v>
      </c>
      <c r="AA14" s="44">
        <f t="shared" si="26"/>
        <v>0</v>
      </c>
      <c r="AB14" s="44">
        <f t="shared" si="27"/>
        <v>0</v>
      </c>
      <c r="AC14" s="44">
        <f t="shared" si="28"/>
        <v>0</v>
      </c>
      <c r="AD14" s="44">
        <f t="shared" si="29"/>
        <v>0</v>
      </c>
      <c r="AE14" s="44">
        <f t="shared" si="30"/>
        <v>0</v>
      </c>
      <c r="AF14" s="44">
        <f t="shared" si="31"/>
        <v>0</v>
      </c>
      <c r="AG14" s="44">
        <f t="shared" si="0"/>
        <v>0</v>
      </c>
    </row>
    <row r="15" spans="1:33" x14ac:dyDescent="0.25">
      <c r="A15" s="50">
        <v>3.6669999999999998</v>
      </c>
      <c r="B15" s="44">
        <f t="shared" si="1"/>
        <v>0</v>
      </c>
      <c r="C15" s="44">
        <f t="shared" si="2"/>
        <v>0</v>
      </c>
      <c r="D15" s="44">
        <f t="shared" si="3"/>
        <v>0</v>
      </c>
      <c r="E15" s="44">
        <f t="shared" si="4"/>
        <v>0</v>
      </c>
      <c r="F15" s="44">
        <f t="shared" si="5"/>
        <v>0</v>
      </c>
      <c r="G15" s="44">
        <f t="shared" si="6"/>
        <v>0</v>
      </c>
      <c r="H15" s="44">
        <f t="shared" si="7"/>
        <v>0</v>
      </c>
      <c r="I15" s="44">
        <f t="shared" si="8"/>
        <v>0</v>
      </c>
      <c r="J15" s="44">
        <f t="shared" si="9"/>
        <v>0</v>
      </c>
      <c r="K15" s="44">
        <f t="shared" si="10"/>
        <v>0</v>
      </c>
      <c r="L15" s="44">
        <f t="shared" si="11"/>
        <v>0</v>
      </c>
      <c r="M15" s="44">
        <f t="shared" si="12"/>
        <v>0</v>
      </c>
      <c r="N15" s="44">
        <f t="shared" si="13"/>
        <v>0</v>
      </c>
      <c r="O15" s="44">
        <f t="shared" si="14"/>
        <v>0</v>
      </c>
      <c r="P15" s="44">
        <f t="shared" si="15"/>
        <v>0</v>
      </c>
      <c r="Q15" s="44">
        <f t="shared" si="16"/>
        <v>0</v>
      </c>
      <c r="R15" s="44">
        <f t="shared" si="17"/>
        <v>0</v>
      </c>
      <c r="S15" s="44">
        <f t="shared" si="18"/>
        <v>0</v>
      </c>
      <c r="T15" s="44">
        <f t="shared" si="19"/>
        <v>0</v>
      </c>
      <c r="U15" s="44">
        <f t="shared" si="20"/>
        <v>0</v>
      </c>
      <c r="V15" s="44">
        <f t="shared" si="21"/>
        <v>0</v>
      </c>
      <c r="W15" s="44">
        <f t="shared" si="22"/>
        <v>0</v>
      </c>
      <c r="X15" s="44">
        <f t="shared" si="23"/>
        <v>0</v>
      </c>
      <c r="Y15" s="44">
        <f t="shared" si="24"/>
        <v>0</v>
      </c>
      <c r="Z15" s="44">
        <f t="shared" si="25"/>
        <v>0</v>
      </c>
      <c r="AA15" s="44">
        <f t="shared" si="26"/>
        <v>0</v>
      </c>
      <c r="AB15" s="44">
        <f t="shared" si="27"/>
        <v>0</v>
      </c>
      <c r="AC15" s="44">
        <f t="shared" si="28"/>
        <v>0</v>
      </c>
      <c r="AD15" s="44">
        <f t="shared" si="29"/>
        <v>0</v>
      </c>
      <c r="AE15" s="44">
        <f t="shared" si="30"/>
        <v>0</v>
      </c>
      <c r="AF15" s="44">
        <f t="shared" si="31"/>
        <v>0</v>
      </c>
      <c r="AG15" s="44">
        <f t="shared" si="0"/>
        <v>0</v>
      </c>
    </row>
    <row r="16" spans="1:33" x14ac:dyDescent="0.25">
      <c r="A16" s="50">
        <v>4</v>
      </c>
      <c r="B16" s="44">
        <f t="shared" si="1"/>
        <v>0</v>
      </c>
      <c r="C16" s="44">
        <f t="shared" si="2"/>
        <v>0</v>
      </c>
      <c r="D16" s="44">
        <f t="shared" si="3"/>
        <v>0</v>
      </c>
      <c r="E16" s="44">
        <f t="shared" si="4"/>
        <v>0</v>
      </c>
      <c r="F16" s="44">
        <f t="shared" si="5"/>
        <v>0</v>
      </c>
      <c r="G16" s="44">
        <f t="shared" si="6"/>
        <v>0</v>
      </c>
      <c r="H16" s="44">
        <f t="shared" si="7"/>
        <v>0</v>
      </c>
      <c r="I16" s="44">
        <f t="shared" si="8"/>
        <v>0</v>
      </c>
      <c r="J16" s="44">
        <f t="shared" si="9"/>
        <v>0</v>
      </c>
      <c r="K16" s="44">
        <f t="shared" si="10"/>
        <v>0</v>
      </c>
      <c r="L16" s="44">
        <f t="shared" si="11"/>
        <v>0</v>
      </c>
      <c r="M16" s="44">
        <f t="shared" si="12"/>
        <v>0</v>
      </c>
      <c r="N16" s="44">
        <f t="shared" si="13"/>
        <v>0</v>
      </c>
      <c r="O16" s="44">
        <f t="shared" si="14"/>
        <v>0</v>
      </c>
      <c r="P16" s="44">
        <f t="shared" si="15"/>
        <v>0</v>
      </c>
      <c r="Q16" s="44">
        <f t="shared" si="16"/>
        <v>0</v>
      </c>
      <c r="R16" s="44">
        <f t="shared" si="17"/>
        <v>0</v>
      </c>
      <c r="S16" s="44">
        <f t="shared" si="18"/>
        <v>0</v>
      </c>
      <c r="T16" s="44">
        <f t="shared" si="19"/>
        <v>0</v>
      </c>
      <c r="U16" s="44">
        <f t="shared" si="20"/>
        <v>0</v>
      </c>
      <c r="V16" s="44">
        <f t="shared" si="21"/>
        <v>0</v>
      </c>
      <c r="W16" s="44">
        <f t="shared" si="22"/>
        <v>0</v>
      </c>
      <c r="X16" s="44">
        <f t="shared" si="23"/>
        <v>0</v>
      </c>
      <c r="Y16" s="44">
        <f t="shared" si="24"/>
        <v>0</v>
      </c>
      <c r="Z16" s="44">
        <f t="shared" si="25"/>
        <v>0</v>
      </c>
      <c r="AA16" s="44">
        <f t="shared" si="26"/>
        <v>0</v>
      </c>
      <c r="AB16" s="44">
        <f t="shared" si="27"/>
        <v>0</v>
      </c>
      <c r="AC16" s="44">
        <f t="shared" si="28"/>
        <v>0</v>
      </c>
      <c r="AD16" s="44">
        <f t="shared" si="29"/>
        <v>0</v>
      </c>
      <c r="AE16" s="44">
        <f t="shared" si="30"/>
        <v>0</v>
      </c>
      <c r="AF16" s="44">
        <f t="shared" si="31"/>
        <v>0</v>
      </c>
      <c r="AG16" s="44">
        <f t="shared" si="0"/>
        <v>0</v>
      </c>
    </row>
    <row r="17" spans="1:33" x14ac:dyDescent="0.25">
      <c r="A17" s="50">
        <v>4.3330000000000002</v>
      </c>
      <c r="B17" s="44">
        <f t="shared" si="1"/>
        <v>0</v>
      </c>
      <c r="C17" s="44">
        <f t="shared" si="2"/>
        <v>0</v>
      </c>
      <c r="D17" s="44">
        <f t="shared" si="3"/>
        <v>0</v>
      </c>
      <c r="E17" s="44">
        <f t="shared" si="4"/>
        <v>0</v>
      </c>
      <c r="F17" s="44">
        <f t="shared" si="5"/>
        <v>0</v>
      </c>
      <c r="G17" s="44">
        <f t="shared" si="6"/>
        <v>0</v>
      </c>
      <c r="H17" s="44">
        <f t="shared" si="7"/>
        <v>0</v>
      </c>
      <c r="I17" s="44">
        <f t="shared" si="8"/>
        <v>0</v>
      </c>
      <c r="J17" s="44">
        <f t="shared" si="9"/>
        <v>0</v>
      </c>
      <c r="K17" s="44">
        <f t="shared" si="10"/>
        <v>0</v>
      </c>
      <c r="L17" s="44">
        <f t="shared" si="11"/>
        <v>0</v>
      </c>
      <c r="M17" s="44">
        <f t="shared" si="12"/>
        <v>0</v>
      </c>
      <c r="N17" s="44">
        <f t="shared" si="13"/>
        <v>0</v>
      </c>
      <c r="O17" s="44">
        <f t="shared" si="14"/>
        <v>0</v>
      </c>
      <c r="P17" s="44">
        <f t="shared" si="15"/>
        <v>0</v>
      </c>
      <c r="Q17" s="44">
        <f t="shared" si="16"/>
        <v>0</v>
      </c>
      <c r="R17" s="44">
        <f t="shared" si="17"/>
        <v>0</v>
      </c>
      <c r="S17" s="44">
        <f t="shared" si="18"/>
        <v>0</v>
      </c>
      <c r="T17" s="44">
        <f t="shared" si="19"/>
        <v>0</v>
      </c>
      <c r="U17" s="44">
        <f t="shared" si="20"/>
        <v>0</v>
      </c>
      <c r="V17" s="44">
        <f t="shared" si="21"/>
        <v>0</v>
      </c>
      <c r="W17" s="44">
        <f t="shared" si="22"/>
        <v>0</v>
      </c>
      <c r="X17" s="44">
        <f t="shared" si="23"/>
        <v>0</v>
      </c>
      <c r="Y17" s="44">
        <f t="shared" si="24"/>
        <v>0</v>
      </c>
      <c r="Z17" s="44">
        <f t="shared" si="25"/>
        <v>0</v>
      </c>
      <c r="AA17" s="44">
        <f t="shared" si="26"/>
        <v>0</v>
      </c>
      <c r="AB17" s="44">
        <f t="shared" si="27"/>
        <v>0</v>
      </c>
      <c r="AC17" s="44">
        <f t="shared" si="28"/>
        <v>0</v>
      </c>
      <c r="AD17" s="44">
        <f t="shared" si="29"/>
        <v>0</v>
      </c>
      <c r="AE17" s="44">
        <f t="shared" si="30"/>
        <v>0</v>
      </c>
      <c r="AF17" s="44">
        <f t="shared" si="31"/>
        <v>0</v>
      </c>
      <c r="AG17" s="44">
        <f t="shared" si="0"/>
        <v>0</v>
      </c>
    </row>
    <row r="18" spans="1:33" x14ac:dyDescent="0.25">
      <c r="A18" s="50">
        <v>4.6669999999999998</v>
      </c>
      <c r="B18" s="44">
        <f t="shared" si="1"/>
        <v>0</v>
      </c>
      <c r="C18" s="44">
        <f t="shared" si="2"/>
        <v>0</v>
      </c>
      <c r="D18" s="44">
        <f t="shared" si="3"/>
        <v>0</v>
      </c>
      <c r="E18" s="44">
        <f t="shared" si="4"/>
        <v>0</v>
      </c>
      <c r="F18" s="44">
        <f t="shared" si="5"/>
        <v>0</v>
      </c>
      <c r="G18" s="44">
        <f t="shared" si="6"/>
        <v>0</v>
      </c>
      <c r="H18" s="44">
        <f t="shared" si="7"/>
        <v>0</v>
      </c>
      <c r="I18" s="44">
        <f t="shared" si="8"/>
        <v>0</v>
      </c>
      <c r="J18" s="44">
        <f t="shared" si="9"/>
        <v>0</v>
      </c>
      <c r="K18" s="44">
        <f t="shared" si="10"/>
        <v>0</v>
      </c>
      <c r="L18" s="44">
        <f t="shared" si="11"/>
        <v>0</v>
      </c>
      <c r="M18" s="44">
        <f t="shared" si="12"/>
        <v>0</v>
      </c>
      <c r="N18" s="44">
        <f t="shared" si="13"/>
        <v>0</v>
      </c>
      <c r="O18" s="44">
        <f t="shared" si="14"/>
        <v>0</v>
      </c>
      <c r="P18" s="44">
        <f t="shared" si="15"/>
        <v>0</v>
      </c>
      <c r="Q18" s="44">
        <f t="shared" si="16"/>
        <v>0</v>
      </c>
      <c r="R18" s="44">
        <f t="shared" si="17"/>
        <v>0</v>
      </c>
      <c r="S18" s="44">
        <f t="shared" si="18"/>
        <v>0</v>
      </c>
      <c r="T18" s="44">
        <f t="shared" si="19"/>
        <v>0</v>
      </c>
      <c r="U18" s="44">
        <f t="shared" si="20"/>
        <v>0</v>
      </c>
      <c r="V18" s="44">
        <f t="shared" si="21"/>
        <v>0</v>
      </c>
      <c r="W18" s="44">
        <f t="shared" si="22"/>
        <v>0</v>
      </c>
      <c r="X18" s="44">
        <f t="shared" si="23"/>
        <v>0</v>
      </c>
      <c r="Y18" s="44">
        <f t="shared" si="24"/>
        <v>0</v>
      </c>
      <c r="Z18" s="44">
        <f t="shared" si="25"/>
        <v>0</v>
      </c>
      <c r="AA18" s="44">
        <f t="shared" si="26"/>
        <v>0</v>
      </c>
      <c r="AB18" s="44">
        <f t="shared" si="27"/>
        <v>0</v>
      </c>
      <c r="AC18" s="44">
        <f t="shared" si="28"/>
        <v>0</v>
      </c>
      <c r="AD18" s="44">
        <f t="shared" si="29"/>
        <v>0</v>
      </c>
      <c r="AE18" s="44">
        <f t="shared" si="30"/>
        <v>0</v>
      </c>
      <c r="AF18" s="44">
        <f t="shared" si="31"/>
        <v>0</v>
      </c>
      <c r="AG18" s="44">
        <f t="shared" si="0"/>
        <v>0</v>
      </c>
    </row>
    <row r="19" spans="1:33" x14ac:dyDescent="0.25">
      <c r="A19" s="50">
        <v>5</v>
      </c>
      <c r="B19" s="44">
        <f t="shared" si="1"/>
        <v>0</v>
      </c>
      <c r="C19" s="44">
        <f t="shared" si="2"/>
        <v>0</v>
      </c>
      <c r="D19" s="44">
        <f t="shared" si="3"/>
        <v>0</v>
      </c>
      <c r="E19" s="44">
        <f t="shared" si="4"/>
        <v>0</v>
      </c>
      <c r="F19" s="44">
        <f t="shared" si="5"/>
        <v>0</v>
      </c>
      <c r="G19" s="44">
        <f t="shared" si="6"/>
        <v>0</v>
      </c>
      <c r="H19" s="44">
        <f t="shared" si="7"/>
        <v>0</v>
      </c>
      <c r="I19" s="44">
        <f t="shared" si="8"/>
        <v>0</v>
      </c>
      <c r="J19" s="44">
        <f t="shared" si="9"/>
        <v>0</v>
      </c>
      <c r="K19" s="44">
        <f t="shared" si="10"/>
        <v>0</v>
      </c>
      <c r="L19" s="44">
        <f t="shared" si="11"/>
        <v>0</v>
      </c>
      <c r="M19" s="44">
        <f t="shared" si="12"/>
        <v>0</v>
      </c>
      <c r="N19" s="44">
        <f t="shared" si="13"/>
        <v>0</v>
      </c>
      <c r="O19" s="44">
        <f t="shared" si="14"/>
        <v>0</v>
      </c>
      <c r="P19" s="44">
        <f t="shared" si="15"/>
        <v>0</v>
      </c>
      <c r="Q19" s="44">
        <f t="shared" si="16"/>
        <v>0</v>
      </c>
      <c r="R19" s="44">
        <f t="shared" si="17"/>
        <v>0</v>
      </c>
      <c r="S19" s="44">
        <f t="shared" si="18"/>
        <v>0</v>
      </c>
      <c r="T19" s="44">
        <f t="shared" si="19"/>
        <v>0</v>
      </c>
      <c r="U19" s="44">
        <f t="shared" si="20"/>
        <v>0</v>
      </c>
      <c r="V19" s="44">
        <f t="shared" si="21"/>
        <v>0</v>
      </c>
      <c r="W19" s="44">
        <f t="shared" si="22"/>
        <v>0</v>
      </c>
      <c r="X19" s="44">
        <f t="shared" si="23"/>
        <v>0</v>
      </c>
      <c r="Y19" s="44">
        <f t="shared" si="24"/>
        <v>0</v>
      </c>
      <c r="Z19" s="44">
        <f t="shared" si="25"/>
        <v>0</v>
      </c>
      <c r="AA19" s="44">
        <f t="shared" si="26"/>
        <v>0</v>
      </c>
      <c r="AB19" s="44">
        <f t="shared" si="27"/>
        <v>0</v>
      </c>
      <c r="AC19" s="44">
        <f t="shared" si="28"/>
        <v>0</v>
      </c>
      <c r="AD19" s="44">
        <f t="shared" si="29"/>
        <v>0</v>
      </c>
      <c r="AE19" s="44">
        <f t="shared" si="30"/>
        <v>0</v>
      </c>
      <c r="AF19" s="44">
        <f t="shared" si="31"/>
        <v>0</v>
      </c>
      <c r="AG19" s="44">
        <f t="shared" si="0"/>
        <v>0</v>
      </c>
    </row>
    <row r="20" spans="1:33" x14ac:dyDescent="0.25">
      <c r="A20" s="50">
        <v>5.3330000000000002</v>
      </c>
      <c r="B20" s="44">
        <f t="shared" si="1"/>
        <v>0</v>
      </c>
      <c r="C20" s="44">
        <f t="shared" si="2"/>
        <v>0</v>
      </c>
      <c r="D20" s="44">
        <f t="shared" si="3"/>
        <v>0</v>
      </c>
      <c r="E20" s="44">
        <f t="shared" si="4"/>
        <v>0</v>
      </c>
      <c r="F20" s="44">
        <f t="shared" si="5"/>
        <v>0</v>
      </c>
      <c r="G20" s="44">
        <f t="shared" si="6"/>
        <v>0</v>
      </c>
      <c r="H20" s="44">
        <f t="shared" si="7"/>
        <v>0</v>
      </c>
      <c r="I20" s="44">
        <f t="shared" si="8"/>
        <v>0</v>
      </c>
      <c r="J20" s="44">
        <f t="shared" si="9"/>
        <v>0</v>
      </c>
      <c r="K20" s="44">
        <f t="shared" si="10"/>
        <v>0</v>
      </c>
      <c r="L20" s="44">
        <f t="shared" si="11"/>
        <v>0</v>
      </c>
      <c r="M20" s="44">
        <f t="shared" si="12"/>
        <v>0</v>
      </c>
      <c r="N20" s="44">
        <f t="shared" si="13"/>
        <v>0</v>
      </c>
      <c r="O20" s="44">
        <f t="shared" si="14"/>
        <v>0</v>
      </c>
      <c r="P20" s="44">
        <f t="shared" si="15"/>
        <v>0</v>
      </c>
      <c r="Q20" s="44">
        <f t="shared" si="16"/>
        <v>0</v>
      </c>
      <c r="R20" s="44">
        <f t="shared" si="17"/>
        <v>0</v>
      </c>
      <c r="S20" s="44">
        <f t="shared" si="18"/>
        <v>0</v>
      </c>
      <c r="T20" s="44">
        <f t="shared" si="19"/>
        <v>0</v>
      </c>
      <c r="U20" s="44">
        <f t="shared" si="20"/>
        <v>0</v>
      </c>
      <c r="V20" s="44">
        <f t="shared" si="21"/>
        <v>0</v>
      </c>
      <c r="W20" s="44">
        <f t="shared" si="22"/>
        <v>0</v>
      </c>
      <c r="X20" s="44">
        <f t="shared" si="23"/>
        <v>0</v>
      </c>
      <c r="Y20" s="44">
        <f t="shared" si="24"/>
        <v>0</v>
      </c>
      <c r="Z20" s="44">
        <f t="shared" si="25"/>
        <v>0</v>
      </c>
      <c r="AA20" s="44">
        <f t="shared" si="26"/>
        <v>0</v>
      </c>
      <c r="AB20" s="44">
        <f t="shared" si="27"/>
        <v>0</v>
      </c>
      <c r="AC20" s="44">
        <f t="shared" si="28"/>
        <v>0</v>
      </c>
      <c r="AD20" s="44">
        <f t="shared" si="29"/>
        <v>0</v>
      </c>
      <c r="AE20" s="44">
        <f t="shared" si="30"/>
        <v>0</v>
      </c>
      <c r="AF20" s="44">
        <f t="shared" si="31"/>
        <v>0</v>
      </c>
      <c r="AG20" s="44">
        <f t="shared" si="0"/>
        <v>0</v>
      </c>
    </row>
    <row r="21" spans="1:33" x14ac:dyDescent="0.25">
      <c r="A21" s="50">
        <v>5.6669999999999998</v>
      </c>
      <c r="B21" s="44">
        <f t="shared" si="1"/>
        <v>0</v>
      </c>
      <c r="C21" s="44">
        <f t="shared" si="2"/>
        <v>0</v>
      </c>
      <c r="D21" s="44">
        <f t="shared" si="3"/>
        <v>0</v>
      </c>
      <c r="E21" s="44">
        <f t="shared" si="4"/>
        <v>0</v>
      </c>
      <c r="F21" s="44">
        <f t="shared" si="5"/>
        <v>0</v>
      </c>
      <c r="G21" s="44">
        <f t="shared" si="6"/>
        <v>0</v>
      </c>
      <c r="H21" s="44">
        <f t="shared" si="7"/>
        <v>0</v>
      </c>
      <c r="I21" s="44">
        <f t="shared" si="8"/>
        <v>0</v>
      </c>
      <c r="J21" s="44">
        <f t="shared" si="9"/>
        <v>0</v>
      </c>
      <c r="K21" s="44">
        <f t="shared" si="10"/>
        <v>0</v>
      </c>
      <c r="L21" s="44">
        <f t="shared" si="11"/>
        <v>0</v>
      </c>
      <c r="M21" s="44">
        <f t="shared" si="12"/>
        <v>0</v>
      </c>
      <c r="N21" s="44">
        <f t="shared" si="13"/>
        <v>0</v>
      </c>
      <c r="O21" s="44">
        <f t="shared" si="14"/>
        <v>0</v>
      </c>
      <c r="P21" s="44">
        <f t="shared" si="15"/>
        <v>0</v>
      </c>
      <c r="Q21" s="44">
        <f t="shared" si="16"/>
        <v>0</v>
      </c>
      <c r="R21" s="44">
        <f t="shared" si="17"/>
        <v>0</v>
      </c>
      <c r="S21" s="44">
        <f t="shared" si="18"/>
        <v>0</v>
      </c>
      <c r="T21" s="44">
        <f t="shared" si="19"/>
        <v>0</v>
      </c>
      <c r="U21" s="44">
        <f t="shared" si="20"/>
        <v>0</v>
      </c>
      <c r="V21" s="44">
        <f t="shared" si="21"/>
        <v>0</v>
      </c>
      <c r="W21" s="44">
        <f t="shared" si="22"/>
        <v>0</v>
      </c>
      <c r="X21" s="44">
        <f t="shared" si="23"/>
        <v>0</v>
      </c>
      <c r="Y21" s="44">
        <f t="shared" si="24"/>
        <v>0</v>
      </c>
      <c r="Z21" s="44">
        <f t="shared" si="25"/>
        <v>0</v>
      </c>
      <c r="AA21" s="44">
        <f t="shared" si="26"/>
        <v>0</v>
      </c>
      <c r="AB21" s="44">
        <f t="shared" si="27"/>
        <v>0</v>
      </c>
      <c r="AC21" s="44">
        <f t="shared" si="28"/>
        <v>0</v>
      </c>
      <c r="AD21" s="44">
        <f t="shared" si="29"/>
        <v>0</v>
      </c>
      <c r="AE21" s="44">
        <f t="shared" si="30"/>
        <v>0</v>
      </c>
      <c r="AF21" s="44">
        <f t="shared" si="31"/>
        <v>0</v>
      </c>
      <c r="AG21" s="44">
        <f t="shared" si="0"/>
        <v>0</v>
      </c>
    </row>
    <row r="22" spans="1:33" x14ac:dyDescent="0.25">
      <c r="A22" s="50">
        <v>6</v>
      </c>
      <c r="B22" s="44">
        <f t="shared" si="1"/>
        <v>0</v>
      </c>
      <c r="C22" s="44">
        <f t="shared" si="2"/>
        <v>0</v>
      </c>
      <c r="D22" s="44">
        <f t="shared" si="3"/>
        <v>0</v>
      </c>
      <c r="E22" s="44">
        <f t="shared" si="4"/>
        <v>0</v>
      </c>
      <c r="F22" s="44">
        <f t="shared" si="5"/>
        <v>0</v>
      </c>
      <c r="G22" s="44">
        <f t="shared" si="6"/>
        <v>0</v>
      </c>
      <c r="H22" s="44">
        <f t="shared" si="7"/>
        <v>0</v>
      </c>
      <c r="I22" s="44">
        <f t="shared" si="8"/>
        <v>0</v>
      </c>
      <c r="J22" s="44">
        <f t="shared" si="9"/>
        <v>0</v>
      </c>
      <c r="K22" s="44">
        <f t="shared" si="10"/>
        <v>0</v>
      </c>
      <c r="L22" s="44">
        <f t="shared" si="11"/>
        <v>0</v>
      </c>
      <c r="M22" s="44">
        <f t="shared" si="12"/>
        <v>0</v>
      </c>
      <c r="N22" s="44">
        <f t="shared" si="13"/>
        <v>0</v>
      </c>
      <c r="O22" s="44">
        <f t="shared" si="14"/>
        <v>0</v>
      </c>
      <c r="P22" s="44">
        <f t="shared" si="15"/>
        <v>0</v>
      </c>
      <c r="Q22" s="44">
        <f t="shared" si="16"/>
        <v>0</v>
      </c>
      <c r="R22" s="44">
        <f t="shared" si="17"/>
        <v>0</v>
      </c>
      <c r="S22" s="44">
        <f t="shared" si="18"/>
        <v>0</v>
      </c>
      <c r="T22" s="44">
        <f t="shared" si="19"/>
        <v>0</v>
      </c>
      <c r="U22" s="44">
        <f t="shared" si="20"/>
        <v>0</v>
      </c>
      <c r="V22" s="44">
        <f t="shared" si="21"/>
        <v>0</v>
      </c>
      <c r="W22" s="44">
        <f t="shared" si="22"/>
        <v>0</v>
      </c>
      <c r="X22" s="44">
        <f t="shared" si="23"/>
        <v>0</v>
      </c>
      <c r="Y22" s="44">
        <f t="shared" si="24"/>
        <v>0</v>
      </c>
      <c r="Z22" s="44">
        <f t="shared" si="25"/>
        <v>0</v>
      </c>
      <c r="AA22" s="44">
        <f t="shared" si="26"/>
        <v>0</v>
      </c>
      <c r="AB22" s="44">
        <f t="shared" si="27"/>
        <v>0</v>
      </c>
      <c r="AC22" s="44">
        <f t="shared" si="28"/>
        <v>0</v>
      </c>
      <c r="AD22" s="44">
        <f t="shared" si="29"/>
        <v>0</v>
      </c>
      <c r="AE22" s="44">
        <f t="shared" si="30"/>
        <v>0</v>
      </c>
      <c r="AF22" s="44">
        <f t="shared" si="31"/>
        <v>0</v>
      </c>
      <c r="AG22" s="44">
        <f t="shared" si="0"/>
        <v>0</v>
      </c>
    </row>
    <row r="23" spans="1:33" x14ac:dyDescent="0.25">
      <c r="A23" s="50">
        <v>6.3330000000000002</v>
      </c>
      <c r="B23" s="44">
        <f t="shared" si="1"/>
        <v>0</v>
      </c>
      <c r="C23" s="44">
        <f t="shared" si="2"/>
        <v>0</v>
      </c>
      <c r="D23" s="44">
        <f t="shared" si="3"/>
        <v>0</v>
      </c>
      <c r="E23" s="44">
        <f t="shared" si="4"/>
        <v>0</v>
      </c>
      <c r="F23" s="44">
        <f t="shared" si="5"/>
        <v>0</v>
      </c>
      <c r="G23" s="44">
        <f t="shared" si="6"/>
        <v>0</v>
      </c>
      <c r="H23" s="44">
        <f t="shared" si="7"/>
        <v>0</v>
      </c>
      <c r="I23" s="44">
        <f t="shared" si="8"/>
        <v>0</v>
      </c>
      <c r="J23" s="44">
        <f t="shared" si="9"/>
        <v>0</v>
      </c>
      <c r="K23" s="44">
        <f t="shared" si="10"/>
        <v>0</v>
      </c>
      <c r="L23" s="44">
        <f t="shared" si="11"/>
        <v>0</v>
      </c>
      <c r="M23" s="44">
        <f t="shared" si="12"/>
        <v>0</v>
      </c>
      <c r="N23" s="44">
        <f t="shared" si="13"/>
        <v>0</v>
      </c>
      <c r="O23" s="44">
        <f t="shared" si="14"/>
        <v>0</v>
      </c>
      <c r="P23" s="44">
        <f t="shared" si="15"/>
        <v>0</v>
      </c>
      <c r="Q23" s="44">
        <f t="shared" si="16"/>
        <v>0</v>
      </c>
      <c r="R23" s="44">
        <f t="shared" si="17"/>
        <v>0</v>
      </c>
      <c r="S23" s="44">
        <f t="shared" si="18"/>
        <v>0</v>
      </c>
      <c r="T23" s="44">
        <f t="shared" si="19"/>
        <v>0</v>
      </c>
      <c r="U23" s="44">
        <f t="shared" si="20"/>
        <v>0</v>
      </c>
      <c r="V23" s="44">
        <f t="shared" si="21"/>
        <v>0</v>
      </c>
      <c r="W23" s="44">
        <f t="shared" si="22"/>
        <v>0</v>
      </c>
      <c r="X23" s="44">
        <f t="shared" si="23"/>
        <v>0</v>
      </c>
      <c r="Y23" s="44">
        <f t="shared" si="24"/>
        <v>0</v>
      </c>
      <c r="Z23" s="44">
        <f t="shared" si="25"/>
        <v>0</v>
      </c>
      <c r="AA23" s="44">
        <f t="shared" si="26"/>
        <v>0</v>
      </c>
      <c r="AB23" s="44">
        <f t="shared" si="27"/>
        <v>0</v>
      </c>
      <c r="AC23" s="44">
        <f t="shared" si="28"/>
        <v>0</v>
      </c>
      <c r="AD23" s="44">
        <f t="shared" si="29"/>
        <v>0</v>
      </c>
      <c r="AE23" s="44">
        <f t="shared" si="30"/>
        <v>0</v>
      </c>
      <c r="AF23" s="44">
        <f t="shared" si="31"/>
        <v>0</v>
      </c>
      <c r="AG23" s="44">
        <f t="shared" si="0"/>
        <v>0</v>
      </c>
    </row>
    <row r="24" spans="1:33" x14ac:dyDescent="0.25">
      <c r="A24" s="50">
        <v>6.6669999999999998</v>
      </c>
      <c r="B24" s="44">
        <f t="shared" si="1"/>
        <v>0</v>
      </c>
      <c r="C24" s="44">
        <f t="shared" si="2"/>
        <v>0</v>
      </c>
      <c r="D24" s="44">
        <f t="shared" si="3"/>
        <v>0</v>
      </c>
      <c r="E24" s="44">
        <f t="shared" si="4"/>
        <v>0</v>
      </c>
      <c r="F24" s="44">
        <f t="shared" si="5"/>
        <v>0</v>
      </c>
      <c r="G24" s="44">
        <f t="shared" si="6"/>
        <v>0</v>
      </c>
      <c r="H24" s="44">
        <f t="shared" si="7"/>
        <v>0</v>
      </c>
      <c r="I24" s="44">
        <f t="shared" si="8"/>
        <v>0</v>
      </c>
      <c r="J24" s="44">
        <f t="shared" si="9"/>
        <v>0</v>
      </c>
      <c r="K24" s="44">
        <f t="shared" si="10"/>
        <v>0</v>
      </c>
      <c r="L24" s="44">
        <f t="shared" si="11"/>
        <v>0</v>
      </c>
      <c r="M24" s="44">
        <f t="shared" si="12"/>
        <v>0</v>
      </c>
      <c r="N24" s="44">
        <f t="shared" si="13"/>
        <v>0</v>
      </c>
      <c r="O24" s="44">
        <f t="shared" si="14"/>
        <v>0</v>
      </c>
      <c r="P24" s="44">
        <f t="shared" si="15"/>
        <v>0</v>
      </c>
      <c r="Q24" s="44">
        <f t="shared" si="16"/>
        <v>0</v>
      </c>
      <c r="R24" s="44">
        <f t="shared" si="17"/>
        <v>0</v>
      </c>
      <c r="S24" s="44">
        <f t="shared" si="18"/>
        <v>0</v>
      </c>
      <c r="T24" s="44">
        <f t="shared" si="19"/>
        <v>0</v>
      </c>
      <c r="U24" s="44">
        <f t="shared" si="20"/>
        <v>0</v>
      </c>
      <c r="V24" s="44">
        <f t="shared" si="21"/>
        <v>0</v>
      </c>
      <c r="W24" s="44">
        <f t="shared" si="22"/>
        <v>0</v>
      </c>
      <c r="X24" s="44">
        <f t="shared" si="23"/>
        <v>0</v>
      </c>
      <c r="Y24" s="44">
        <f t="shared" si="24"/>
        <v>0</v>
      </c>
      <c r="Z24" s="44">
        <f t="shared" si="25"/>
        <v>0</v>
      </c>
      <c r="AA24" s="44">
        <f t="shared" si="26"/>
        <v>0</v>
      </c>
      <c r="AB24" s="44">
        <f t="shared" si="27"/>
        <v>0</v>
      </c>
      <c r="AC24" s="44">
        <f t="shared" si="28"/>
        <v>0</v>
      </c>
      <c r="AD24" s="44">
        <f t="shared" si="29"/>
        <v>0</v>
      </c>
      <c r="AE24" s="44">
        <f t="shared" si="30"/>
        <v>0</v>
      </c>
      <c r="AF24" s="44">
        <f t="shared" si="31"/>
        <v>0</v>
      </c>
      <c r="AG24" s="44">
        <f t="shared" si="0"/>
        <v>0</v>
      </c>
    </row>
    <row r="25" spans="1:33" x14ac:dyDescent="0.25">
      <c r="A25" s="50">
        <v>7</v>
      </c>
      <c r="B25" s="44">
        <f t="shared" si="1"/>
        <v>0</v>
      </c>
      <c r="C25" s="44">
        <f t="shared" si="2"/>
        <v>0</v>
      </c>
      <c r="D25" s="44">
        <f t="shared" si="3"/>
        <v>0</v>
      </c>
      <c r="E25" s="44">
        <f t="shared" si="4"/>
        <v>0</v>
      </c>
      <c r="F25" s="44">
        <f t="shared" si="5"/>
        <v>0</v>
      </c>
      <c r="G25" s="44">
        <f t="shared" si="6"/>
        <v>0</v>
      </c>
      <c r="H25" s="44">
        <f t="shared" si="7"/>
        <v>0</v>
      </c>
      <c r="I25" s="44">
        <f t="shared" si="8"/>
        <v>0</v>
      </c>
      <c r="J25" s="44">
        <f t="shared" si="9"/>
        <v>0</v>
      </c>
      <c r="K25" s="44">
        <f t="shared" si="10"/>
        <v>0</v>
      </c>
      <c r="L25" s="44">
        <f t="shared" si="11"/>
        <v>0</v>
      </c>
      <c r="M25" s="44">
        <f t="shared" si="12"/>
        <v>0</v>
      </c>
      <c r="N25" s="44">
        <f t="shared" si="13"/>
        <v>0</v>
      </c>
      <c r="O25" s="44">
        <f t="shared" si="14"/>
        <v>0</v>
      </c>
      <c r="P25" s="44">
        <f t="shared" si="15"/>
        <v>0</v>
      </c>
      <c r="Q25" s="44">
        <f t="shared" si="16"/>
        <v>0</v>
      </c>
      <c r="R25" s="44">
        <f t="shared" si="17"/>
        <v>0</v>
      </c>
      <c r="S25" s="44">
        <f t="shared" si="18"/>
        <v>0</v>
      </c>
      <c r="T25" s="44">
        <f t="shared" si="19"/>
        <v>0</v>
      </c>
      <c r="U25" s="44">
        <f t="shared" si="20"/>
        <v>0</v>
      </c>
      <c r="V25" s="44">
        <f t="shared" si="21"/>
        <v>0</v>
      </c>
      <c r="W25" s="44">
        <f t="shared" si="22"/>
        <v>0</v>
      </c>
      <c r="X25" s="44">
        <f t="shared" si="23"/>
        <v>0</v>
      </c>
      <c r="Y25" s="44">
        <f t="shared" si="24"/>
        <v>0</v>
      </c>
      <c r="Z25" s="44">
        <f t="shared" si="25"/>
        <v>0</v>
      </c>
      <c r="AA25" s="44">
        <f t="shared" si="26"/>
        <v>0</v>
      </c>
      <c r="AB25" s="44">
        <f t="shared" si="27"/>
        <v>0</v>
      </c>
      <c r="AC25" s="44">
        <f t="shared" si="28"/>
        <v>0</v>
      </c>
      <c r="AD25" s="44">
        <f t="shared" si="29"/>
        <v>0</v>
      </c>
      <c r="AE25" s="44">
        <f t="shared" si="30"/>
        <v>0</v>
      </c>
      <c r="AF25" s="44">
        <f t="shared" si="31"/>
        <v>0</v>
      </c>
      <c r="AG25" s="44">
        <f t="shared" si="0"/>
        <v>0</v>
      </c>
    </row>
    <row r="26" spans="1:33" x14ac:dyDescent="0.25">
      <c r="A26" s="50">
        <v>7.3330000000000002</v>
      </c>
      <c r="B26" s="44">
        <f t="shared" si="1"/>
        <v>0</v>
      </c>
      <c r="C26" s="44">
        <f t="shared" si="2"/>
        <v>0</v>
      </c>
      <c r="D26" s="44">
        <f t="shared" si="3"/>
        <v>0</v>
      </c>
      <c r="E26" s="44">
        <f t="shared" si="4"/>
        <v>0</v>
      </c>
      <c r="F26" s="44">
        <f t="shared" si="5"/>
        <v>0</v>
      </c>
      <c r="G26" s="44">
        <f t="shared" si="6"/>
        <v>0</v>
      </c>
      <c r="H26" s="44">
        <f t="shared" si="7"/>
        <v>0</v>
      </c>
      <c r="I26" s="44">
        <f t="shared" si="8"/>
        <v>0</v>
      </c>
      <c r="J26" s="44">
        <f t="shared" si="9"/>
        <v>0</v>
      </c>
      <c r="K26" s="44">
        <f t="shared" si="10"/>
        <v>0</v>
      </c>
      <c r="L26" s="44">
        <f t="shared" si="11"/>
        <v>0</v>
      </c>
      <c r="M26" s="44">
        <f t="shared" si="12"/>
        <v>0</v>
      </c>
      <c r="N26" s="44">
        <f t="shared" si="13"/>
        <v>0</v>
      </c>
      <c r="O26" s="44">
        <f t="shared" si="14"/>
        <v>0</v>
      </c>
      <c r="P26" s="44">
        <f t="shared" si="15"/>
        <v>0</v>
      </c>
      <c r="Q26" s="44">
        <f t="shared" si="16"/>
        <v>0</v>
      </c>
      <c r="R26" s="44">
        <f t="shared" si="17"/>
        <v>0</v>
      </c>
      <c r="S26" s="44">
        <f t="shared" si="18"/>
        <v>0</v>
      </c>
      <c r="T26" s="44">
        <f t="shared" si="19"/>
        <v>0</v>
      </c>
      <c r="U26" s="44">
        <f t="shared" si="20"/>
        <v>0</v>
      </c>
      <c r="V26" s="44">
        <f t="shared" si="21"/>
        <v>0</v>
      </c>
      <c r="W26" s="44">
        <f t="shared" si="22"/>
        <v>0</v>
      </c>
      <c r="X26" s="44">
        <f t="shared" si="23"/>
        <v>0</v>
      </c>
      <c r="Y26" s="44">
        <f t="shared" si="24"/>
        <v>0</v>
      </c>
      <c r="Z26" s="44">
        <f t="shared" si="25"/>
        <v>0</v>
      </c>
      <c r="AA26" s="44">
        <f t="shared" si="26"/>
        <v>0</v>
      </c>
      <c r="AB26" s="44">
        <f t="shared" si="27"/>
        <v>0</v>
      </c>
      <c r="AC26" s="44">
        <f t="shared" si="28"/>
        <v>0</v>
      </c>
      <c r="AD26" s="44">
        <f t="shared" si="29"/>
        <v>0</v>
      </c>
      <c r="AE26" s="44">
        <f t="shared" si="30"/>
        <v>0</v>
      </c>
      <c r="AF26" s="44">
        <f t="shared" si="31"/>
        <v>0</v>
      </c>
      <c r="AG26" s="44">
        <f t="shared" si="0"/>
        <v>0</v>
      </c>
    </row>
    <row r="27" spans="1:33" x14ac:dyDescent="0.25">
      <c r="A27" s="50">
        <v>7.6669999999999998</v>
      </c>
      <c r="B27" s="44">
        <f t="shared" si="1"/>
        <v>0</v>
      </c>
      <c r="C27" s="44">
        <f t="shared" si="2"/>
        <v>0</v>
      </c>
      <c r="D27" s="44">
        <f t="shared" si="3"/>
        <v>0</v>
      </c>
      <c r="E27" s="44">
        <f t="shared" si="4"/>
        <v>0</v>
      </c>
      <c r="F27" s="44">
        <f t="shared" si="5"/>
        <v>0</v>
      </c>
      <c r="G27" s="44">
        <f t="shared" si="6"/>
        <v>0</v>
      </c>
      <c r="H27" s="44">
        <f t="shared" si="7"/>
        <v>0</v>
      </c>
      <c r="I27" s="44">
        <f t="shared" si="8"/>
        <v>0</v>
      </c>
      <c r="J27" s="44">
        <f t="shared" si="9"/>
        <v>0</v>
      </c>
      <c r="K27" s="44">
        <f t="shared" si="10"/>
        <v>0</v>
      </c>
      <c r="L27" s="44">
        <f t="shared" si="11"/>
        <v>0</v>
      </c>
      <c r="M27" s="44">
        <f t="shared" si="12"/>
        <v>0</v>
      </c>
      <c r="N27" s="44">
        <f t="shared" si="13"/>
        <v>0</v>
      </c>
      <c r="O27" s="44">
        <f t="shared" si="14"/>
        <v>0</v>
      </c>
      <c r="P27" s="44">
        <f t="shared" si="15"/>
        <v>0</v>
      </c>
      <c r="Q27" s="44">
        <f t="shared" si="16"/>
        <v>0</v>
      </c>
      <c r="R27" s="44">
        <f t="shared" si="17"/>
        <v>0</v>
      </c>
      <c r="S27" s="44">
        <f t="shared" si="18"/>
        <v>0</v>
      </c>
      <c r="T27" s="44">
        <f t="shared" si="19"/>
        <v>0</v>
      </c>
      <c r="U27" s="44">
        <f t="shared" si="20"/>
        <v>0</v>
      </c>
      <c r="V27" s="44">
        <f t="shared" si="21"/>
        <v>0</v>
      </c>
      <c r="W27" s="44">
        <f t="shared" si="22"/>
        <v>0</v>
      </c>
      <c r="X27" s="44">
        <f t="shared" si="23"/>
        <v>0</v>
      </c>
      <c r="Y27" s="44">
        <f t="shared" si="24"/>
        <v>0</v>
      </c>
      <c r="Z27" s="44">
        <f t="shared" si="25"/>
        <v>0</v>
      </c>
      <c r="AA27" s="44">
        <f t="shared" si="26"/>
        <v>0</v>
      </c>
      <c r="AB27" s="44">
        <f t="shared" si="27"/>
        <v>0</v>
      </c>
      <c r="AC27" s="44">
        <f t="shared" si="28"/>
        <v>0</v>
      </c>
      <c r="AD27" s="44">
        <f t="shared" si="29"/>
        <v>0</v>
      </c>
      <c r="AE27" s="44">
        <f t="shared" si="30"/>
        <v>0</v>
      </c>
      <c r="AF27" s="44">
        <f t="shared" si="31"/>
        <v>0</v>
      </c>
      <c r="AG27" s="44">
        <f t="shared" si="0"/>
        <v>0</v>
      </c>
    </row>
    <row r="28" spans="1:33" x14ac:dyDescent="0.25">
      <c r="A28" s="50">
        <v>8</v>
      </c>
      <c r="B28" s="44">
        <f t="shared" si="1"/>
        <v>0</v>
      </c>
      <c r="C28" s="44">
        <f t="shared" si="2"/>
        <v>0</v>
      </c>
      <c r="D28" s="44">
        <f t="shared" si="3"/>
        <v>0</v>
      </c>
      <c r="E28" s="44">
        <f t="shared" si="4"/>
        <v>0</v>
      </c>
      <c r="F28" s="44">
        <f t="shared" si="5"/>
        <v>0</v>
      </c>
      <c r="G28" s="44">
        <f t="shared" si="6"/>
        <v>0</v>
      </c>
      <c r="H28" s="44">
        <f t="shared" si="7"/>
        <v>0</v>
      </c>
      <c r="I28" s="44">
        <f t="shared" si="8"/>
        <v>0</v>
      </c>
      <c r="J28" s="44">
        <f t="shared" si="9"/>
        <v>0</v>
      </c>
      <c r="K28" s="44">
        <f t="shared" si="10"/>
        <v>0</v>
      </c>
      <c r="L28" s="44">
        <f t="shared" si="11"/>
        <v>0</v>
      </c>
      <c r="M28" s="44">
        <f t="shared" si="12"/>
        <v>0</v>
      </c>
      <c r="N28" s="44">
        <f t="shared" si="13"/>
        <v>0</v>
      </c>
      <c r="O28" s="44">
        <f t="shared" si="14"/>
        <v>0</v>
      </c>
      <c r="P28" s="44">
        <f t="shared" si="15"/>
        <v>0</v>
      </c>
      <c r="Q28" s="44">
        <f t="shared" si="16"/>
        <v>0</v>
      </c>
      <c r="R28" s="44">
        <f t="shared" si="17"/>
        <v>0</v>
      </c>
      <c r="S28" s="44">
        <f t="shared" si="18"/>
        <v>0</v>
      </c>
      <c r="T28" s="44">
        <f t="shared" si="19"/>
        <v>0</v>
      </c>
      <c r="U28" s="44">
        <f t="shared" si="20"/>
        <v>0</v>
      </c>
      <c r="V28" s="44">
        <f t="shared" si="21"/>
        <v>0</v>
      </c>
      <c r="W28" s="44">
        <f t="shared" si="22"/>
        <v>0</v>
      </c>
      <c r="X28" s="44">
        <f t="shared" si="23"/>
        <v>0</v>
      </c>
      <c r="Y28" s="44">
        <f t="shared" si="24"/>
        <v>0</v>
      </c>
      <c r="Z28" s="44">
        <f t="shared" si="25"/>
        <v>0</v>
      </c>
      <c r="AA28" s="44">
        <f t="shared" si="26"/>
        <v>0</v>
      </c>
      <c r="AB28" s="44">
        <f t="shared" si="27"/>
        <v>0</v>
      </c>
      <c r="AC28" s="44">
        <f t="shared" si="28"/>
        <v>0</v>
      </c>
      <c r="AD28" s="44">
        <f t="shared" si="29"/>
        <v>0</v>
      </c>
      <c r="AE28" s="44">
        <f t="shared" si="30"/>
        <v>0</v>
      </c>
      <c r="AF28" s="44">
        <f t="shared" si="31"/>
        <v>0</v>
      </c>
      <c r="AG28" s="44">
        <f t="shared" si="0"/>
        <v>0</v>
      </c>
    </row>
    <row r="29" spans="1:33" x14ac:dyDescent="0.25">
      <c r="A29" s="50">
        <v>8.3330000000000002</v>
      </c>
      <c r="B29" s="44">
        <f t="shared" si="1"/>
        <v>0</v>
      </c>
      <c r="C29" s="44">
        <f t="shared" si="2"/>
        <v>0</v>
      </c>
      <c r="D29" s="44">
        <f t="shared" si="3"/>
        <v>0</v>
      </c>
      <c r="E29" s="44">
        <f t="shared" si="4"/>
        <v>0</v>
      </c>
      <c r="F29" s="44">
        <f t="shared" si="5"/>
        <v>0</v>
      </c>
      <c r="G29" s="44">
        <f t="shared" si="6"/>
        <v>0</v>
      </c>
      <c r="H29" s="44">
        <f t="shared" si="7"/>
        <v>0</v>
      </c>
      <c r="I29" s="44">
        <f t="shared" si="8"/>
        <v>0</v>
      </c>
      <c r="J29" s="44">
        <f t="shared" si="9"/>
        <v>0</v>
      </c>
      <c r="K29" s="44">
        <f t="shared" si="10"/>
        <v>0</v>
      </c>
      <c r="L29" s="44">
        <f t="shared" si="11"/>
        <v>0</v>
      </c>
      <c r="M29" s="44">
        <f t="shared" si="12"/>
        <v>0</v>
      </c>
      <c r="N29" s="44">
        <f t="shared" si="13"/>
        <v>0</v>
      </c>
      <c r="O29" s="44">
        <f t="shared" si="14"/>
        <v>0</v>
      </c>
      <c r="P29" s="44">
        <f t="shared" si="15"/>
        <v>0</v>
      </c>
      <c r="Q29" s="44">
        <f t="shared" si="16"/>
        <v>0</v>
      </c>
      <c r="R29" s="44">
        <f t="shared" si="17"/>
        <v>0</v>
      </c>
      <c r="S29" s="44">
        <f t="shared" si="18"/>
        <v>0</v>
      </c>
      <c r="T29" s="44">
        <f t="shared" si="19"/>
        <v>0</v>
      </c>
      <c r="U29" s="44">
        <f t="shared" si="20"/>
        <v>0</v>
      </c>
      <c r="V29" s="44">
        <f t="shared" si="21"/>
        <v>0</v>
      </c>
      <c r="W29" s="44">
        <f t="shared" si="22"/>
        <v>0</v>
      </c>
      <c r="X29" s="44">
        <f t="shared" si="23"/>
        <v>0</v>
      </c>
      <c r="Y29" s="44">
        <f t="shared" si="24"/>
        <v>0</v>
      </c>
      <c r="Z29" s="44">
        <f t="shared" si="25"/>
        <v>0</v>
      </c>
      <c r="AA29" s="44">
        <f t="shared" si="26"/>
        <v>0</v>
      </c>
      <c r="AB29" s="44">
        <f t="shared" si="27"/>
        <v>0</v>
      </c>
      <c r="AC29" s="44">
        <f t="shared" si="28"/>
        <v>0</v>
      </c>
      <c r="AD29" s="44">
        <f t="shared" si="29"/>
        <v>0</v>
      </c>
      <c r="AE29" s="44">
        <f t="shared" si="30"/>
        <v>0</v>
      </c>
      <c r="AF29" s="44">
        <f t="shared" si="31"/>
        <v>0</v>
      </c>
      <c r="AG29" s="44">
        <f t="shared" si="0"/>
        <v>0</v>
      </c>
    </row>
    <row r="30" spans="1:33" x14ac:dyDescent="0.25">
      <c r="A30" s="50">
        <v>8.6669999999999998</v>
      </c>
      <c r="B30" s="44">
        <f t="shared" si="1"/>
        <v>0</v>
      </c>
      <c r="C30" s="44">
        <f t="shared" si="2"/>
        <v>0</v>
      </c>
      <c r="D30" s="44">
        <f t="shared" si="3"/>
        <v>0</v>
      </c>
      <c r="E30" s="44">
        <f t="shared" si="4"/>
        <v>0</v>
      </c>
      <c r="F30" s="44">
        <f t="shared" si="5"/>
        <v>0</v>
      </c>
      <c r="G30" s="44">
        <f t="shared" si="6"/>
        <v>0</v>
      </c>
      <c r="H30" s="44">
        <f t="shared" si="7"/>
        <v>0</v>
      </c>
      <c r="I30" s="44">
        <f t="shared" si="8"/>
        <v>0</v>
      </c>
      <c r="J30" s="44">
        <f t="shared" si="9"/>
        <v>0</v>
      </c>
      <c r="K30" s="44">
        <f t="shared" si="10"/>
        <v>0</v>
      </c>
      <c r="L30" s="44">
        <f t="shared" si="11"/>
        <v>0</v>
      </c>
      <c r="M30" s="44">
        <f t="shared" si="12"/>
        <v>0</v>
      </c>
      <c r="N30" s="44">
        <f t="shared" si="13"/>
        <v>0</v>
      </c>
      <c r="O30" s="44">
        <f t="shared" si="14"/>
        <v>0</v>
      </c>
      <c r="P30" s="44">
        <f t="shared" si="15"/>
        <v>0</v>
      </c>
      <c r="Q30" s="44">
        <f t="shared" si="16"/>
        <v>0</v>
      </c>
      <c r="R30" s="44">
        <f t="shared" si="17"/>
        <v>0</v>
      </c>
      <c r="S30" s="44">
        <f t="shared" si="18"/>
        <v>0</v>
      </c>
      <c r="T30" s="44">
        <f t="shared" si="19"/>
        <v>0</v>
      </c>
      <c r="U30" s="44">
        <f t="shared" si="20"/>
        <v>0</v>
      </c>
      <c r="V30" s="44">
        <f t="shared" si="21"/>
        <v>0</v>
      </c>
      <c r="W30" s="44">
        <f t="shared" si="22"/>
        <v>0</v>
      </c>
      <c r="X30" s="44">
        <f t="shared" si="23"/>
        <v>0</v>
      </c>
      <c r="Y30" s="44">
        <f t="shared" si="24"/>
        <v>0</v>
      </c>
      <c r="Z30" s="44">
        <f t="shared" si="25"/>
        <v>0</v>
      </c>
      <c r="AA30" s="44">
        <f t="shared" si="26"/>
        <v>0</v>
      </c>
      <c r="AB30" s="44">
        <f t="shared" si="27"/>
        <v>0</v>
      </c>
      <c r="AC30" s="44">
        <f t="shared" si="28"/>
        <v>0</v>
      </c>
      <c r="AD30" s="44">
        <f t="shared" si="29"/>
        <v>0</v>
      </c>
      <c r="AE30" s="44">
        <f t="shared" si="30"/>
        <v>0</v>
      </c>
      <c r="AF30" s="44">
        <f t="shared" si="31"/>
        <v>0</v>
      </c>
      <c r="AG30" s="44">
        <f t="shared" si="0"/>
        <v>0</v>
      </c>
    </row>
    <row r="31" spans="1:33" x14ac:dyDescent="0.25">
      <c r="A31" s="50">
        <v>9</v>
      </c>
      <c r="B31" s="44">
        <f t="shared" si="1"/>
        <v>0</v>
      </c>
      <c r="C31" s="44">
        <f t="shared" si="2"/>
        <v>0</v>
      </c>
      <c r="D31" s="44">
        <f t="shared" si="3"/>
        <v>0</v>
      </c>
      <c r="E31" s="44">
        <f t="shared" si="4"/>
        <v>0</v>
      </c>
      <c r="F31" s="44">
        <f t="shared" si="5"/>
        <v>0</v>
      </c>
      <c r="G31" s="44">
        <f t="shared" si="6"/>
        <v>0</v>
      </c>
      <c r="H31" s="44">
        <f t="shared" si="7"/>
        <v>0</v>
      </c>
      <c r="I31" s="44">
        <f t="shared" si="8"/>
        <v>0</v>
      </c>
      <c r="J31" s="44">
        <f t="shared" si="9"/>
        <v>0</v>
      </c>
      <c r="K31" s="44">
        <f t="shared" si="10"/>
        <v>0</v>
      </c>
      <c r="L31" s="44">
        <f t="shared" si="11"/>
        <v>0</v>
      </c>
      <c r="M31" s="44">
        <f t="shared" si="12"/>
        <v>0</v>
      </c>
      <c r="N31" s="44">
        <f t="shared" si="13"/>
        <v>0</v>
      </c>
      <c r="O31" s="44">
        <f t="shared" si="14"/>
        <v>0</v>
      </c>
      <c r="P31" s="44">
        <f t="shared" si="15"/>
        <v>0</v>
      </c>
      <c r="Q31" s="44">
        <f t="shared" si="16"/>
        <v>0</v>
      </c>
      <c r="R31" s="44">
        <f t="shared" si="17"/>
        <v>0</v>
      </c>
      <c r="S31" s="44">
        <f t="shared" si="18"/>
        <v>0</v>
      </c>
      <c r="T31" s="44">
        <f t="shared" si="19"/>
        <v>0</v>
      </c>
      <c r="U31" s="44">
        <f t="shared" si="20"/>
        <v>0</v>
      </c>
      <c r="V31" s="44">
        <f t="shared" si="21"/>
        <v>0</v>
      </c>
      <c r="W31" s="44">
        <f t="shared" si="22"/>
        <v>0</v>
      </c>
      <c r="X31" s="44">
        <f t="shared" si="23"/>
        <v>0</v>
      </c>
      <c r="Y31" s="44">
        <f t="shared" si="24"/>
        <v>0</v>
      </c>
      <c r="Z31" s="44">
        <f t="shared" si="25"/>
        <v>0</v>
      </c>
      <c r="AA31" s="44">
        <f t="shared" si="26"/>
        <v>0</v>
      </c>
      <c r="AB31" s="44">
        <f t="shared" si="27"/>
        <v>0</v>
      </c>
      <c r="AC31" s="44">
        <f t="shared" si="28"/>
        <v>0</v>
      </c>
      <c r="AD31" s="44">
        <f t="shared" si="29"/>
        <v>0</v>
      </c>
      <c r="AE31" s="44">
        <f t="shared" si="30"/>
        <v>0</v>
      </c>
      <c r="AF31" s="44">
        <f t="shared" si="31"/>
        <v>0</v>
      </c>
      <c r="AG31" s="44">
        <f t="shared" si="0"/>
        <v>0</v>
      </c>
    </row>
    <row r="32" spans="1:33" x14ac:dyDescent="0.25">
      <c r="A32" s="50">
        <v>9.3330000000000002</v>
      </c>
      <c r="B32" s="44">
        <f t="shared" si="1"/>
        <v>0</v>
      </c>
      <c r="C32" s="44">
        <f t="shared" si="2"/>
        <v>0</v>
      </c>
      <c r="D32" s="44">
        <f t="shared" si="3"/>
        <v>0</v>
      </c>
      <c r="E32" s="44">
        <f t="shared" si="4"/>
        <v>0</v>
      </c>
      <c r="F32" s="44">
        <f t="shared" si="5"/>
        <v>0</v>
      </c>
      <c r="G32" s="44">
        <f t="shared" si="6"/>
        <v>0</v>
      </c>
      <c r="H32" s="44">
        <f t="shared" si="7"/>
        <v>0</v>
      </c>
      <c r="I32" s="44">
        <f t="shared" si="8"/>
        <v>0</v>
      </c>
      <c r="J32" s="44">
        <f t="shared" si="9"/>
        <v>0</v>
      </c>
      <c r="K32" s="44">
        <f t="shared" si="10"/>
        <v>0</v>
      </c>
      <c r="L32" s="44">
        <f t="shared" si="11"/>
        <v>0</v>
      </c>
      <c r="M32" s="44">
        <f t="shared" si="12"/>
        <v>0</v>
      </c>
      <c r="N32" s="44">
        <f t="shared" si="13"/>
        <v>0</v>
      </c>
      <c r="O32" s="44">
        <f t="shared" si="14"/>
        <v>0</v>
      </c>
      <c r="P32" s="44">
        <f t="shared" si="15"/>
        <v>0</v>
      </c>
      <c r="Q32" s="44">
        <f t="shared" si="16"/>
        <v>0</v>
      </c>
      <c r="R32" s="44">
        <f t="shared" si="17"/>
        <v>0</v>
      </c>
      <c r="S32" s="44">
        <f t="shared" si="18"/>
        <v>0</v>
      </c>
      <c r="T32" s="44">
        <f t="shared" si="19"/>
        <v>0</v>
      </c>
      <c r="U32" s="44">
        <f t="shared" si="20"/>
        <v>0</v>
      </c>
      <c r="V32" s="44">
        <f t="shared" si="21"/>
        <v>0</v>
      </c>
      <c r="W32" s="44">
        <f t="shared" si="22"/>
        <v>0</v>
      </c>
      <c r="X32" s="44">
        <f t="shared" si="23"/>
        <v>0</v>
      </c>
      <c r="Y32" s="44">
        <f t="shared" si="24"/>
        <v>0</v>
      </c>
      <c r="Z32" s="44">
        <f t="shared" si="25"/>
        <v>0</v>
      </c>
      <c r="AA32" s="44">
        <f t="shared" si="26"/>
        <v>0</v>
      </c>
      <c r="AB32" s="44">
        <f t="shared" si="27"/>
        <v>0</v>
      </c>
      <c r="AC32" s="44">
        <f t="shared" si="28"/>
        <v>0</v>
      </c>
      <c r="AD32" s="44">
        <f t="shared" si="29"/>
        <v>0</v>
      </c>
      <c r="AE32" s="44">
        <f t="shared" si="30"/>
        <v>0</v>
      </c>
      <c r="AF32" s="44">
        <f t="shared" si="31"/>
        <v>0</v>
      </c>
      <c r="AG32" s="44">
        <f t="shared" si="0"/>
        <v>0</v>
      </c>
    </row>
    <row r="33" spans="1:33" x14ac:dyDescent="0.25">
      <c r="A33" s="50">
        <v>9.6669999999999998</v>
      </c>
      <c r="B33" s="44">
        <f t="shared" si="1"/>
        <v>0</v>
      </c>
      <c r="C33" s="44">
        <f t="shared" si="2"/>
        <v>0</v>
      </c>
      <c r="D33" s="44">
        <f t="shared" si="3"/>
        <v>0</v>
      </c>
      <c r="E33" s="44">
        <f t="shared" si="4"/>
        <v>0</v>
      </c>
      <c r="F33" s="44">
        <f t="shared" si="5"/>
        <v>0</v>
      </c>
      <c r="G33" s="44">
        <f t="shared" si="6"/>
        <v>0</v>
      </c>
      <c r="H33" s="44">
        <f t="shared" si="7"/>
        <v>0</v>
      </c>
      <c r="I33" s="44">
        <f t="shared" si="8"/>
        <v>0</v>
      </c>
      <c r="J33" s="44">
        <f t="shared" si="9"/>
        <v>0</v>
      </c>
      <c r="K33" s="44">
        <f t="shared" si="10"/>
        <v>0</v>
      </c>
      <c r="L33" s="44">
        <f t="shared" si="11"/>
        <v>0</v>
      </c>
      <c r="M33" s="44">
        <f t="shared" si="12"/>
        <v>0</v>
      </c>
      <c r="N33" s="44">
        <f t="shared" si="13"/>
        <v>0</v>
      </c>
      <c r="O33" s="44">
        <f t="shared" si="14"/>
        <v>0</v>
      </c>
      <c r="P33" s="44">
        <f t="shared" si="15"/>
        <v>0</v>
      </c>
      <c r="Q33" s="44">
        <f t="shared" si="16"/>
        <v>0</v>
      </c>
      <c r="R33" s="44">
        <f t="shared" si="17"/>
        <v>0</v>
      </c>
      <c r="S33" s="44">
        <f t="shared" si="18"/>
        <v>0</v>
      </c>
      <c r="T33" s="44">
        <f t="shared" si="19"/>
        <v>0</v>
      </c>
      <c r="U33" s="44">
        <f t="shared" si="20"/>
        <v>0</v>
      </c>
      <c r="V33" s="44">
        <f t="shared" si="21"/>
        <v>0</v>
      </c>
      <c r="W33" s="44">
        <f t="shared" si="22"/>
        <v>0</v>
      </c>
      <c r="X33" s="44">
        <f t="shared" si="23"/>
        <v>0</v>
      </c>
      <c r="Y33" s="44">
        <f t="shared" si="24"/>
        <v>0</v>
      </c>
      <c r="Z33" s="44">
        <f t="shared" si="25"/>
        <v>0</v>
      </c>
      <c r="AA33" s="44">
        <f t="shared" si="26"/>
        <v>0</v>
      </c>
      <c r="AB33" s="44">
        <f t="shared" si="27"/>
        <v>0</v>
      </c>
      <c r="AC33" s="44">
        <f t="shared" si="28"/>
        <v>0</v>
      </c>
      <c r="AD33" s="44">
        <f t="shared" si="29"/>
        <v>0</v>
      </c>
      <c r="AE33" s="44">
        <f t="shared" si="30"/>
        <v>0</v>
      </c>
      <c r="AF33" s="44">
        <f t="shared" si="31"/>
        <v>0</v>
      </c>
      <c r="AG33" s="44">
        <f t="shared" si="0"/>
        <v>0</v>
      </c>
    </row>
    <row r="34" spans="1:33" x14ac:dyDescent="0.25">
      <c r="A34" s="50">
        <v>10</v>
      </c>
      <c r="B34" s="44">
        <f t="shared" si="1"/>
        <v>0</v>
      </c>
      <c r="C34" s="44">
        <f t="shared" si="2"/>
        <v>0</v>
      </c>
      <c r="D34" s="44">
        <f t="shared" si="3"/>
        <v>0</v>
      </c>
      <c r="E34" s="44">
        <f t="shared" si="4"/>
        <v>0</v>
      </c>
      <c r="F34" s="44">
        <f t="shared" si="5"/>
        <v>0</v>
      </c>
      <c r="G34" s="44">
        <f t="shared" si="6"/>
        <v>0</v>
      </c>
      <c r="H34" s="44">
        <f t="shared" si="7"/>
        <v>0</v>
      </c>
      <c r="I34" s="44">
        <f t="shared" si="8"/>
        <v>0</v>
      </c>
      <c r="J34" s="44">
        <f t="shared" si="9"/>
        <v>0</v>
      </c>
      <c r="K34" s="44">
        <f t="shared" si="10"/>
        <v>0</v>
      </c>
      <c r="L34" s="44">
        <f t="shared" si="11"/>
        <v>0</v>
      </c>
      <c r="M34" s="44">
        <f t="shared" si="12"/>
        <v>0</v>
      </c>
      <c r="N34" s="44">
        <f t="shared" si="13"/>
        <v>0</v>
      </c>
      <c r="O34" s="44">
        <f t="shared" si="14"/>
        <v>0</v>
      </c>
      <c r="P34" s="44">
        <f t="shared" si="15"/>
        <v>0</v>
      </c>
      <c r="Q34" s="44">
        <f t="shared" si="16"/>
        <v>0</v>
      </c>
      <c r="R34" s="44">
        <f t="shared" si="17"/>
        <v>0</v>
      </c>
      <c r="S34" s="44">
        <f t="shared" si="18"/>
        <v>0</v>
      </c>
      <c r="T34" s="44">
        <f t="shared" si="19"/>
        <v>0</v>
      </c>
      <c r="U34" s="44">
        <f t="shared" si="20"/>
        <v>0</v>
      </c>
      <c r="V34" s="44">
        <f t="shared" si="21"/>
        <v>0</v>
      </c>
      <c r="W34" s="44">
        <f t="shared" si="22"/>
        <v>0</v>
      </c>
      <c r="X34" s="44">
        <f t="shared" si="23"/>
        <v>0</v>
      </c>
      <c r="Y34" s="44">
        <f t="shared" si="24"/>
        <v>0</v>
      </c>
      <c r="Z34" s="44">
        <f t="shared" si="25"/>
        <v>0</v>
      </c>
      <c r="AA34" s="44">
        <f t="shared" si="26"/>
        <v>0</v>
      </c>
      <c r="AB34" s="44">
        <f t="shared" si="27"/>
        <v>0</v>
      </c>
      <c r="AC34" s="44">
        <f t="shared" si="28"/>
        <v>0</v>
      </c>
      <c r="AD34" s="44">
        <f t="shared" si="29"/>
        <v>0</v>
      </c>
      <c r="AE34" s="44">
        <f t="shared" si="30"/>
        <v>0</v>
      </c>
      <c r="AF34" s="44">
        <f t="shared" si="31"/>
        <v>0</v>
      </c>
      <c r="AG34" s="44">
        <f t="shared" si="0"/>
        <v>0</v>
      </c>
    </row>
    <row r="36" spans="1:33" x14ac:dyDescent="0.25">
      <c r="AF36" s="51"/>
    </row>
  </sheetData>
  <mergeCells count="1">
    <mergeCell ref="N1:O2"/>
  </mergeCells>
  <phoneticPr fontId="12"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Extended Detention Basin</vt:lpstr>
      <vt:lpstr>Sheet1</vt:lpstr>
      <vt:lpstr>'Extended Detention Basin'!Print_Area</vt:lpstr>
    </vt:vector>
  </TitlesOfParts>
  <Company>Riverside County Flood Control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csweiss</dc:creator>
  <cp:lastModifiedBy>Bruckner, Scott</cp:lastModifiedBy>
  <cp:lastPrinted>2011-11-28T06:21:59Z</cp:lastPrinted>
  <dcterms:created xsi:type="dcterms:W3CDTF">2009-01-28T16:11:25Z</dcterms:created>
  <dcterms:modified xsi:type="dcterms:W3CDTF">2015-01-08T17:20:16Z</dcterms:modified>
</cp:coreProperties>
</file>